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35" activeTab="0"/>
  </bookViews>
  <sheets>
    <sheet name="AP-CHK-RPT-20180326" sheetId="1" r:id="rId1"/>
  </sheets>
  <definedNames/>
  <calcPr fullCalcOnLoad="1"/>
</workbook>
</file>

<file path=xl/sharedStrings.xml><?xml version="1.0" encoding="utf-8"?>
<sst xmlns="http://schemas.openxmlformats.org/spreadsheetml/2006/main" count="3854" uniqueCount="320">
  <si>
    <t>Name</t>
  </si>
  <si>
    <t>Bank</t>
  </si>
  <si>
    <t>Check #</t>
  </si>
  <si>
    <t>Check Amount</t>
  </si>
  <si>
    <t>Check Date</t>
  </si>
  <si>
    <t>Check Type</t>
  </si>
  <si>
    <t>Invoice Type</t>
  </si>
  <si>
    <t>Invoice ID</t>
  </si>
  <si>
    <t>Invoice Desc</t>
  </si>
  <si>
    <t>Invoice Payment</t>
  </si>
  <si>
    <t>INTERNAL REVENUE SERVICE (941)</t>
  </si>
  <si>
    <t>AP</t>
  </si>
  <si>
    <t>DRAFT</t>
  </si>
  <si>
    <t>INVOICE</t>
  </si>
  <si>
    <t>DENTON NAVARRO ROCHA BERNAL HYDE &amp; ZECH  P.C.</t>
  </si>
  <si>
    <t>VOID CHECK</t>
  </si>
  <si>
    <t>OTHER</t>
  </si>
  <si>
    <t>PERRY HYDEN</t>
  </si>
  <si>
    <t>REGULAR</t>
  </si>
  <si>
    <t>LORENZO HERRERA</t>
  </si>
  <si>
    <t>FONDA KELLNER</t>
  </si>
  <si>
    <t>AFLAC</t>
  </si>
  <si>
    <t>DEBIT MEMO</t>
  </si>
  <si>
    <t>TEXAS MUNICIPAL RETIREMENT SYSTEM</t>
  </si>
  <si>
    <t>DENTAL SELECT</t>
  </si>
  <si>
    <t>LEGAL PLANS</t>
  </si>
  <si>
    <t>LEGALSHIELD</t>
  </si>
  <si>
    <t>HEALTH CARE SERVICE CORPORATION BCBSOF</t>
  </si>
  <si>
    <t>DEARBORN NATIONAL</t>
  </si>
  <si>
    <t>FLORESVILLE POLICE OFFICERS ASSOCIATION</t>
  </si>
  <si>
    <t>TEXAS CSDU</t>
  </si>
  <si>
    <t>MARY K. VIEGELAHN  CHAPTER 13 TRUSTEE</t>
  </si>
  <si>
    <t>PERFORMANT RECORVERY  INC.</t>
  </si>
  <si>
    <t>NATIONWIDE TRUST COMPANY  FSB</t>
  </si>
  <si>
    <t>GERALD LUBIANSKI ENTERPRISES  INC.</t>
  </si>
  <si>
    <t>F.E.L.P.S.</t>
  </si>
  <si>
    <t>WILSON COUNTY HARDWARE</t>
  </si>
  <si>
    <t>DEASON ANIMAL HOSPITAL</t>
  </si>
  <si>
    <t>FERGUSON WATERWORKS - MUNICIPAL PIPE</t>
  </si>
  <si>
    <t>LUBE WORKS</t>
  </si>
  <si>
    <t>DECOTY COFFEE COMPANY</t>
  </si>
  <si>
    <t>3-D WELDING &amp; INDUSTRIAL SUPPLY CO.</t>
  </si>
  <si>
    <t>LEXISNEXIS RISK SOLUTIONS</t>
  </si>
  <si>
    <t>DITTMAR LUMBER CO.</t>
  </si>
  <si>
    <t>USA BLUEBOOK</t>
  </si>
  <si>
    <t>NARDIS PUBLIC SAFETY</t>
  </si>
  <si>
    <t>BUREAU VERITAS NORTH AMERICA  INC</t>
  </si>
  <si>
    <t>CITY OF FLORESVILLE</t>
  </si>
  <si>
    <t>AUTOZONE</t>
  </si>
  <si>
    <t>DREWA DESIGNS  INC.</t>
  </si>
  <si>
    <t>SOUTHWAY FORD</t>
  </si>
  <si>
    <t>WESTON SERVICES OF TEXAS</t>
  </si>
  <si>
    <t>LOPEZ EXTERMINATING SERVICE  INC.</t>
  </si>
  <si>
    <t>EAST END GLASS</t>
  </si>
  <si>
    <t>THE LAW OFFICES OF LOUIS T. ROSENBERG  P.C.</t>
  </si>
  <si>
    <t>PRUSKI'S TIRE SHOP  L.L.C.</t>
  </si>
  <si>
    <t>SOUTHWASTE DISPOSAL  LLP</t>
  </si>
  <si>
    <t>ASCO</t>
  </si>
  <si>
    <t>METHODIST HEALTHCARE SYSTEM</t>
  </si>
  <si>
    <t>EWALD TRACTOR SUPPLY</t>
  </si>
  <si>
    <t>PITNEY BOWES</t>
  </si>
  <si>
    <t>THE GOODYEAR TIRE &amp; RUBBER COMPANY</t>
  </si>
  <si>
    <t>FIDLAR ELECTION SERVICES</t>
  </si>
  <si>
    <t>CINTAS CORPORATION #087</t>
  </si>
  <si>
    <t>VILLA TIRES</t>
  </si>
  <si>
    <t>VERIZON WIRELESS</t>
  </si>
  <si>
    <t>WILSON COUNTY</t>
  </si>
  <si>
    <t>MARIA GONZALES</t>
  </si>
  <si>
    <t>OFFICE DEPOT  INC.</t>
  </si>
  <si>
    <t>WILSON COUNTY TAX COLLECTOR</t>
  </si>
  <si>
    <t>OMNIBUS-M  INC.D.B.A.</t>
  </si>
  <si>
    <t>POSITIVE PROMOTIONS  INC.</t>
  </si>
  <si>
    <t>SRALLA ELECTRIC</t>
  </si>
  <si>
    <t>FEDEX</t>
  </si>
  <si>
    <t>TX TAG</t>
  </si>
  <si>
    <t>THE LAW OFFICE OF TOM CALDWELL</t>
  </si>
  <si>
    <t>COBBFENDLEY</t>
  </si>
  <si>
    <t>R &amp; S TEXAS PARTS CO</t>
  </si>
  <si>
    <t>CTRMA PROCESSING</t>
  </si>
  <si>
    <t>APPRIVER</t>
  </si>
  <si>
    <t>RAIN FOR RENT</t>
  </si>
  <si>
    <t>FRONTIER</t>
  </si>
  <si>
    <t>NITA HARRELL</t>
  </si>
  <si>
    <t>ALBERT'S SMALL ENGINE PARTS</t>
  </si>
  <si>
    <t>INWEST RETIREMENT SOLUTIONS</t>
  </si>
  <si>
    <t>DANIEL M TEJADA</t>
  </si>
  <si>
    <t>JOHNNY RAY NIETO</t>
  </si>
  <si>
    <t>SHERRY MARTINEZ CASTILLO</t>
  </si>
  <si>
    <t>JUAN ORTIZ</t>
  </si>
  <si>
    <t>GLORIA M. CANTU</t>
  </si>
  <si>
    <t>GERARD J. JIMENEZ</t>
  </si>
  <si>
    <t>EDWINA VALVERDE</t>
  </si>
  <si>
    <t>LEADSONLINE</t>
  </si>
  <si>
    <t>SBS ADMINISTRATIVE SERVICES  LLC</t>
  </si>
  <si>
    <t>TEXAS MUNICIPAL COURTS ASSOCIATION</t>
  </si>
  <si>
    <t>JESSE EVINS</t>
  </si>
  <si>
    <t>UPS</t>
  </si>
  <si>
    <t>M &amp; S ENGINEERING  LLC</t>
  </si>
  <si>
    <t>TML INTERGOVERNMENTAL RISK POOL</t>
  </si>
  <si>
    <t>LANGFORD COMMUNITY MANAGEMENT SERVICES</t>
  </si>
  <si>
    <t>REPUBLIC SERVICES #859</t>
  </si>
  <si>
    <t>A &amp; B COMMUNICATIONS</t>
  </si>
  <si>
    <t>LVWIFI.COM</t>
  </si>
  <si>
    <t>HELEN S. MARTINEZ</t>
  </si>
  <si>
    <t>CITY OF FLORESVILLE -PETTY CASH</t>
  </si>
  <si>
    <t>STANTEC CONSULTING SERVICES INC.</t>
  </si>
  <si>
    <t>Office of the Secretary of State</t>
  </si>
  <si>
    <t>CENTERPOINT ENERGY ENTEX</t>
  </si>
  <si>
    <t>HART INTERCIVIC</t>
  </si>
  <si>
    <t>WILSON COUNTY NEWS</t>
  </si>
  <si>
    <t>HILL PEST CONTROL COMPANY</t>
  </si>
  <si>
    <t>OMNIBASE SERVICES OF TEXAS</t>
  </si>
  <si>
    <t>GARRETT ISAIAH GARZA</t>
  </si>
  <si>
    <t>POLLOK &amp; SONS SURVEYING INC.</t>
  </si>
  <si>
    <t>SMITH GAS COMPANY  INC.</t>
  </si>
  <si>
    <t>VERIZON BUSINESS</t>
  </si>
  <si>
    <t>TEXAS WIRED MUSIC  INC.</t>
  </si>
  <si>
    <t>WILSON COUNTY EMS</t>
  </si>
  <si>
    <t>TRACTOR SUPPLY CREDIT PLAN</t>
  </si>
  <si>
    <t>DPC INDUSTRIES  INC.</t>
  </si>
  <si>
    <t>MCCOY'S CORPORATION</t>
  </si>
  <si>
    <t>CONNIE MORENO</t>
  </si>
  <si>
    <t>AG-PRO COMPANIES</t>
  </si>
  <si>
    <t>DE LAGE LANDEN PUBLIC FINANCE</t>
  </si>
  <si>
    <t>CASARES SAND PIT &amp; TRUCKING  INC.</t>
  </si>
  <si>
    <t>K FRIESE &amp; ASSOCIATES  INC.</t>
  </si>
  <si>
    <t>SHIRLEY UNDERWOOD</t>
  </si>
  <si>
    <t>SINCLAIR BROADCAST GROUP</t>
  </si>
  <si>
    <t>HOSS</t>
  </si>
  <si>
    <t>LOWE'S</t>
  </si>
  <si>
    <t>FLORESVILLE POST OFFICE</t>
  </si>
  <si>
    <t>DEBORAH KORCZYK</t>
  </si>
  <si>
    <t>DEBRA J. DOCKERY</t>
  </si>
  <si>
    <t>RICARDO CARRASCO</t>
  </si>
  <si>
    <t>JAY TRINIDAD</t>
  </si>
  <si>
    <t>JAY TRINIDAD            VOIDED</t>
  </si>
  <si>
    <t>FLORESVILLE CHAMBER OF COMMERCE</t>
  </si>
  <si>
    <t>WAL-MART BUSINESS/SYNCB</t>
  </si>
  <si>
    <t>F. E. D. C.</t>
  </si>
  <si>
    <t>SOUTHWEST PUBLIC SAFETY</t>
  </si>
  <si>
    <t>PITNEY BOWES PURCHASE POWER</t>
  </si>
  <si>
    <t>POOLSURE</t>
  </si>
  <si>
    <t>O'REILLY AUTOMOTIVE  INC.</t>
  </si>
  <si>
    <t>AT&amp;T</t>
  </si>
  <si>
    <t>RICHARD MARRERO</t>
  </si>
  <si>
    <t>SAMUEL SANTOS</t>
  </si>
  <si>
    <t>HEATHER MEYER</t>
  </si>
  <si>
    <t>SCOTT CARDENAS</t>
  </si>
  <si>
    <t>TIFFANI DILLON</t>
  </si>
  <si>
    <t>ABBY LUBBOCK</t>
  </si>
  <si>
    <t>JULES PAVLISKA</t>
  </si>
  <si>
    <t>DALTON SCHROLLER</t>
  </si>
  <si>
    <t>NATHANIEL BENAVIDES</t>
  </si>
  <si>
    <t>MADISON CALOSS</t>
  </si>
  <si>
    <t>VERONICA HANDOWSKI</t>
  </si>
  <si>
    <t>CHRYSTABEL LAIJAS</t>
  </si>
  <si>
    <t>JAMES MEYER</t>
  </si>
  <si>
    <t>SARA MOORE</t>
  </si>
  <si>
    <t>SETH TAGGS</t>
  </si>
  <si>
    <t>AMANDA WAUTERS</t>
  </si>
  <si>
    <t>ABRAM WIATREK</t>
  </si>
  <si>
    <t>TYLER TECHNOLOGIES  INC.</t>
  </si>
  <si>
    <t>POLLUTION CONTROL SERVICES</t>
  </si>
  <si>
    <t>CINTAS CORPORATION</t>
  </si>
  <si>
    <t>TEXAS MUNICIPAL COURT - JUSTICE COURT NEWS</t>
  </si>
  <si>
    <t>BRYAN AIR CONDITIONING &amp; HEATING</t>
  </si>
  <si>
    <t>LISA SOUTHERN</t>
  </si>
  <si>
    <t>FORMAX</t>
  </si>
  <si>
    <t>TEXAS FACILITIES COMMISSION FEDERAL SURPLUS</t>
  </si>
  <si>
    <t>TASER INTERNATIONAL</t>
  </si>
  <si>
    <t>BARRETT &amp; SONS  INC.</t>
  </si>
  <si>
    <t>ANDREA MARTINEZ</t>
  </si>
  <si>
    <t>SAN ANTONIO RIVER AUTHORITY</t>
  </si>
  <si>
    <t>INTREPID SURVEYING CORPORATION</t>
  </si>
  <si>
    <t>AB WOODWORKS</t>
  </si>
  <si>
    <t>ANGEL FIRE &amp; SAFETY</t>
  </si>
  <si>
    <t>NORTH TEXAS TOLLWAY AUTHORITY</t>
  </si>
  <si>
    <t>CHILDRENS HOSPITAL OF SAN ANTONO</t>
  </si>
  <si>
    <t>CLOSNER EQUIPMENT CO. INC.</t>
  </si>
  <si>
    <t>PFEIL'S HOME &amp; GARDEN MATERIALS  INC.</t>
  </si>
  <si>
    <t>HITS  INC</t>
  </si>
  <si>
    <t>WESTON SIGNS LLC</t>
  </si>
  <si>
    <t>JOEL PAVLISKA</t>
  </si>
  <si>
    <t>AMER TECHNOLOGY  INC.</t>
  </si>
  <si>
    <t>BILL ANGELINI</t>
  </si>
  <si>
    <t>TETON OILFIELD SERVICES</t>
  </si>
  <si>
    <t>ANCIRA FORD-MERCURY</t>
  </si>
  <si>
    <t>GLORIA MARTINEZ</t>
  </si>
  <si>
    <t>JENNIFER MURILLO</t>
  </si>
  <si>
    <t>GABRIELLA ARANDA</t>
  </si>
  <si>
    <t>SANDY ELIAS</t>
  </si>
  <si>
    <t>ALLISON LOPEZ</t>
  </si>
  <si>
    <t>ELDA RODRIGUEZ</t>
  </si>
  <si>
    <t>DONNA PEREZ</t>
  </si>
  <si>
    <t>DESTINY LUNE</t>
  </si>
  <si>
    <t>KRISTIE GUAJARDO</t>
  </si>
  <si>
    <t>SUSIE CASTRO</t>
  </si>
  <si>
    <t>MONICA REYNOLDS</t>
  </si>
  <si>
    <t>KIERSTEN CASANOVA</t>
  </si>
  <si>
    <t>AHC PHYSICIANS INC.</t>
  </si>
  <si>
    <t>AACOG</t>
  </si>
  <si>
    <t>WILSON COUNTY APPRAISAL DISTRICT</t>
  </si>
  <si>
    <t>TEXAS WORKFORCE COMMISSION</t>
  </si>
  <si>
    <t>SIRCHIE</t>
  </si>
  <si>
    <t>DOMINION VOTING</t>
  </si>
  <si>
    <t>ACCOUNTEMPS</t>
  </si>
  <si>
    <t>INEZ CLARICE TRINIDAD</t>
  </si>
  <si>
    <t>ASCAP</t>
  </si>
  <si>
    <t>MARY LOU TORRES</t>
  </si>
  <si>
    <t>TEXAS COMMISSION ON ENVIRONMENTAL QUALITY</t>
  </si>
  <si>
    <t>SHARON KERRIGAN</t>
  </si>
  <si>
    <t>FULLER COMPANY</t>
  </si>
  <si>
    <t>GALLS  LLC-D.B.A. STERLING'S UNIFORMS</t>
  </si>
  <si>
    <t>BULLDOG MACHINE SERVICES</t>
  </si>
  <si>
    <t>BEARCOM WIRELESS WORLDWIDE</t>
  </si>
  <si>
    <t>LJ PLUMBING</t>
  </si>
  <si>
    <t>TITAN WIRELESS</t>
  </si>
  <si>
    <t>GLI DISTRIBUTING</t>
  </si>
  <si>
    <t>CITY OF FLORESVILLE-FLEX SPENDING</t>
  </si>
  <si>
    <t>UNIVISION COMMUNICATIONS INC</t>
  </si>
  <si>
    <t>JESSE XIMENEZ</t>
  </si>
  <si>
    <t>SILVER EAGLE DISTRIBUTORS</t>
  </si>
  <si>
    <t>SOUTHWESTERN CONSTRUCTION CO LLC</t>
  </si>
  <si>
    <t>MONICA CORDOVA</t>
  </si>
  <si>
    <t>TAQUERIA VELIZ</t>
  </si>
  <si>
    <t>BENNIE BAIN</t>
  </si>
  <si>
    <t>HENRIETTA TURNER</t>
  </si>
  <si>
    <t>ERGON ASPHALT AND EMULSIONS  INC.</t>
  </si>
  <si>
    <t>ROBERT L SRALLA DBA/SRALLA ELECTRIC</t>
  </si>
  <si>
    <t>MATERA PAPER CO  LTD.</t>
  </si>
  <si>
    <t>MELISSA BARRERA</t>
  </si>
  <si>
    <t>="MITCHELL</t>
  </si>
  <si>
    <t xml:space="preserve"> J"</t>
  </si>
  <si>
    <t>FORT BEND SERVICES  INC.</t>
  </si>
  <si>
    <t>FARMERS GIN CO.</t>
  </si>
  <si>
    <t>TEXAS PATCHER</t>
  </si>
  <si>
    <t>ANYTIME FITNESS</t>
  </si>
  <si>
    <t>BANNON &amp; ASSOCIATES  LLC</t>
  </si>
  <si>
    <t>JOE XIMENEZ</t>
  </si>
  <si>
    <t>DIXIE FLAG MANUFACTURING COMPANY</t>
  </si>
  <si>
    <t>PHOTOGRAPHS BY JIM</t>
  </si>
  <si>
    <t>LARRY SRALLA ELECTRIC</t>
  </si>
  <si>
    <t>PUBLIC AGENCY TRAINING COUNCIL</t>
  </si>
  <si>
    <t>DPS GENERAL SVC BUREAU</t>
  </si>
  <si>
    <t>WATCHGUARD VIDEO</t>
  </si>
  <si>
    <t>MUNICODE</t>
  </si>
  <si>
    <t>DOCUMATION</t>
  </si>
  <si>
    <t>BASS COMPUTER  INC.</t>
  </si>
  <si>
    <t>ACE MART RESTAURANT SUPPLY COMPANY</t>
  </si>
  <si>
    <t>ACOUSTIC TO ROCK STUDIOS</t>
  </si>
  <si>
    <t>BNETRADIO - TEJANO</t>
  </si>
  <si>
    <t>VISION SERVICE PLAN</t>
  </si>
  <si>
    <t>ARAMENDIA</t>
  </si>
  <si>
    <t>LOWER COLORADO RIVER AUTHORITY</t>
  </si>
  <si>
    <t>HAYES ENGINEERING  INC</t>
  </si>
  <si>
    <t>TAPCO</t>
  </si>
  <si>
    <t>GEORGE NICKLAS SILVA</t>
  </si>
  <si>
    <t>BILLY HERRERA</t>
  </si>
  <si>
    <t>VICTOR FAVELLA</t>
  </si>
  <si>
    <t>KEVIN SWINEHART</t>
  </si>
  <si>
    <t>KEVIN SWINEHART         VOIDED</t>
  </si>
  <si>
    <t>GEORGE ORTIZ</t>
  </si>
  <si>
    <t>DAVID FARIAS</t>
  </si>
  <si>
    <t>CLARO COMMUNICATIONS LTD</t>
  </si>
  <si>
    <t>JESSE CASTRO</t>
  </si>
  <si>
    <t>VIDA ENT. / JOHN VILLANUEVA</t>
  </si>
  <si>
    <t>BILL ANGELINI ENTERPRISES</t>
  </si>
  <si>
    <t>CREDIT MEMO</t>
  </si>
  <si>
    <t>HUNTER SAENZ</t>
  </si>
  <si>
    <t>WILSON COUNTY SCHOOL OF BALLET &amp; PERFORMING ARTS</t>
  </si>
  <si>
    <t>MAD DESIGNS</t>
  </si>
  <si>
    <t>WILSON COUNTY CLERK  EVA S. MARTINEZ</t>
  </si>
  <si>
    <t>ROLAND CASTRO</t>
  </si>
  <si>
    <t>ROBERTO SILVA</t>
  </si>
  <si>
    <t>TONY SERVANTEZ</t>
  </si>
  <si>
    <t>TERESA PENA RODRIGUEZ</t>
  </si>
  <si>
    <t>MARIA O. TEJADA</t>
  </si>
  <si>
    <t>DORA LEAL</t>
  </si>
  <si>
    <t>JOHN TEJADA</t>
  </si>
  <si>
    <t>SYLVIA RODRIGUEZ</t>
  </si>
  <si>
    <t>MARGARET TEJADA</t>
  </si>
  <si>
    <t>LINEBARGER GOGGAN BLAIR &amp; SAMPSON  LLP</t>
  </si>
  <si>
    <t>WESCO RECEIVABLES CORP.</t>
  </si>
  <si>
    <t>HUDSON BROTHERS TRAILER SALES</t>
  </si>
  <si>
    <t>TOM MARCONI</t>
  </si>
  <si>
    <t>FELUX METAL WORKS &amp; SUPPLY  L.P.</t>
  </si>
  <si>
    <t>ORALIA VASQUEZ</t>
  </si>
  <si>
    <t>ELEGUN ELECTRIC MOTOR AND SERVICE</t>
  </si>
  <si>
    <t>CINTAS FIRE 636525</t>
  </si>
  <si>
    <t>JAMES ELECTRICAL  LLC</t>
  </si>
  <si>
    <t>SUCO INVESTMENTS II  INC</t>
  </si>
  <si>
    <t>TMHRA</t>
  </si>
  <si>
    <t>FULLER'S ALAMO SAFE AND LOCK  INC.</t>
  </si>
  <si>
    <t>SPARKLETTS &amp; SIERRA SPRINGS</t>
  </si>
  <si>
    <t>KOLODZIEJ'S</t>
  </si>
  <si>
    <t>HEARTLAND PARK &amp; RECREATION  LLC</t>
  </si>
  <si>
    <t>JENNIFER MARIE MURILLO</t>
  </si>
  <si>
    <t>ALLISON RENAE LOPEZ</t>
  </si>
  <si>
    <t>A-Z COMMUNICATIONS</t>
  </si>
  <si>
    <t>BEXAR COUNTY CLERK</t>
  </si>
  <si>
    <t>STILLWATER MACHINE  LLC</t>
  </si>
  <si>
    <t>TEXAS MUNICIPAL LEAGUE INTERGOVERNMENTAL RISK POOL</t>
  </si>
  <si>
    <t>VULCAN CONSTRUCTION MATERIALS  LP</t>
  </si>
  <si>
    <t>DATA FLOW</t>
  </si>
  <si>
    <t>THE POLICE AND SHERIFFS PRESS</t>
  </si>
  <si>
    <t>SAM'S CLUB/SYNCHRONY BANK</t>
  </si>
  <si>
    <t>APPLIED CONCEPTS  INC.</t>
  </si>
  <si>
    <t>CHEM EQUIPMENT</t>
  </si>
  <si>
    <t>MUNISERVICES  LLC</t>
  </si>
  <si>
    <t>MATHESON TRI-GAS INC</t>
  </si>
  <si>
    <t>CECELIA GONZALEZ-DIPPEL</t>
  </si>
  <si>
    <t>LEGAL FEES</t>
  </si>
  <si>
    <t>TRAINING</t>
  </si>
  <si>
    <t>EMPLOYEE DEDICTION</t>
  </si>
  <si>
    <t>CONTRACT SERVICES</t>
  </si>
  <si>
    <t>COUNCIL SALARIES</t>
  </si>
  <si>
    <t>EMPLOYEE TRAINING</t>
  </si>
  <si>
    <t>ELECTION CONTRACT SERVICES</t>
  </si>
  <si>
    <t>NICK SILVA</t>
  </si>
  <si>
    <t>CHECK REGISTER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</si>
</sst>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39" fontId="0" fillId="0" borderId="0" xfId="0" applyNumberFormat="1" applyAlignment="1">
      <alignment/>
    </xf>
    <xf numFmtId="0" fontId="0" fillId="0" borderId="0" xfId="0" applyAlignment="1">
      <alignment horizontal="right"/>
    </xf>
    <xf numFmtId="39" fontId="35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36"/>
  <sheetViews>
    <sheetView tabSelected="1" zoomScalePageLayoutView="0" workbookViewId="0" topLeftCell="B1">
      <selection activeCell="I1634" sqref="I1634"/>
    </sheetView>
  </sheetViews>
  <sheetFormatPr defaultColWidth="9.140625" defaultRowHeight="15"/>
  <cols>
    <col min="1" max="1" width="52.140625" style="0" bestFit="1" customWidth="1"/>
    <col min="2" max="2" width="4.8515625" style="0" bestFit="1" customWidth="1"/>
    <col min="3" max="3" width="7.140625" style="0" bestFit="1" customWidth="1"/>
    <col min="4" max="4" width="13.00390625" style="2" bestFit="1" customWidth="1"/>
    <col min="5" max="5" width="10.421875" style="0" bestFit="1" customWidth="1"/>
    <col min="6" max="6" width="11.00390625" style="0" bestFit="1" customWidth="1"/>
    <col min="7" max="7" width="13.140625" style="0" bestFit="1" customWidth="1"/>
    <col min="8" max="8" width="18.421875" style="0" bestFit="1" customWidth="1"/>
    <col min="9" max="9" width="35.140625" style="0" bestFit="1" customWidth="1"/>
    <col min="10" max="10" width="18.57421875" style="2" bestFit="1" customWidth="1"/>
    <col min="11" max="11" width="2.8515625" style="0" bestFit="1" customWidth="1"/>
  </cols>
  <sheetData>
    <row r="1" spans="1:10" ht="15">
      <c r="A1" t="s">
        <v>0</v>
      </c>
      <c r="B1" t="s">
        <v>1</v>
      </c>
      <c r="C1" t="s">
        <v>2</v>
      </c>
      <c r="D1" s="2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2" t="s">
        <v>9</v>
      </c>
    </row>
    <row r="2" spans="1:10" ht="15">
      <c r="A2" t="s">
        <v>10</v>
      </c>
      <c r="B2" t="s">
        <v>11</v>
      </c>
      <c r="C2">
        <v>0</v>
      </c>
      <c r="D2" s="2">
        <v>29876.43</v>
      </c>
      <c r="E2" s="1">
        <v>42739</v>
      </c>
      <c r="F2" t="s">
        <v>12</v>
      </c>
      <c r="G2" t="s">
        <v>13</v>
      </c>
      <c r="H2" t="str">
        <f>"T1 201701047865"</f>
        <v>T1 201701047865</v>
      </c>
      <c r="I2" t="str">
        <f>"FED WITHHOLDINGS"</f>
        <v>FED WITHHOLDINGS</v>
      </c>
      <c r="J2" s="2">
        <v>12390.69</v>
      </c>
    </row>
    <row r="3" spans="7:10" ht="15">
      <c r="G3" t="s">
        <v>13</v>
      </c>
      <c r="H3" t="str">
        <f>"T3 201701047865"</f>
        <v>T3 201701047865</v>
      </c>
      <c r="I3" t="str">
        <f>"FICA WITHHOLDINGS"</f>
        <v>FICA WITHHOLDINGS</v>
      </c>
      <c r="J3" s="2">
        <v>14171.46</v>
      </c>
    </row>
    <row r="4" spans="7:10" ht="15">
      <c r="G4" t="s">
        <v>13</v>
      </c>
      <c r="H4" t="str">
        <f>"T4 201701047865"</f>
        <v>T4 201701047865</v>
      </c>
      <c r="I4" t="str">
        <f>"MEDICARE WITHHOLDINGS"</f>
        <v>MEDICARE WITHHOLDINGS</v>
      </c>
      <c r="J4" s="2">
        <v>3314.28</v>
      </c>
    </row>
    <row r="5" spans="1:10" ht="15">
      <c r="A5" t="s">
        <v>10</v>
      </c>
      <c r="B5" t="s">
        <v>11</v>
      </c>
      <c r="C5">
        <v>0</v>
      </c>
      <c r="D5" s="2">
        <v>30177.26</v>
      </c>
      <c r="E5" s="1">
        <v>42753</v>
      </c>
      <c r="F5" t="s">
        <v>12</v>
      </c>
      <c r="G5" t="s">
        <v>13</v>
      </c>
      <c r="H5" t="str">
        <f>"T1 201701187884"</f>
        <v>T1 201701187884</v>
      </c>
      <c r="I5" t="str">
        <f>"FED WITHHOLDINGS"</f>
        <v>FED WITHHOLDINGS</v>
      </c>
      <c r="J5" s="2">
        <v>12564.82</v>
      </c>
    </row>
    <row r="6" spans="7:10" ht="15">
      <c r="G6" t="s">
        <v>13</v>
      </c>
      <c r="H6" t="str">
        <f>"T3 201701187884"</f>
        <v>T3 201701187884</v>
      </c>
      <c r="I6" t="str">
        <f>"FICA WITHHOLDINGS"</f>
        <v>FICA WITHHOLDINGS</v>
      </c>
      <c r="J6" s="2">
        <v>14274.16</v>
      </c>
    </row>
    <row r="7" spans="7:10" ht="15">
      <c r="G7" t="s">
        <v>13</v>
      </c>
      <c r="H7" t="str">
        <f>"T4 201701187884"</f>
        <v>T4 201701187884</v>
      </c>
      <c r="I7" t="str">
        <f>"MEDICARE WITHHOLDINGS"</f>
        <v>MEDICARE WITHHOLDINGS</v>
      </c>
      <c r="J7" s="2">
        <v>3338.28</v>
      </c>
    </row>
    <row r="8" spans="1:10" ht="15">
      <c r="A8" t="s">
        <v>10</v>
      </c>
      <c r="B8" t="s">
        <v>11</v>
      </c>
      <c r="C8">
        <v>0</v>
      </c>
      <c r="D8" s="2">
        <v>29615.08</v>
      </c>
      <c r="E8" s="1">
        <v>42767</v>
      </c>
      <c r="F8" t="s">
        <v>12</v>
      </c>
      <c r="G8" t="s">
        <v>13</v>
      </c>
      <c r="H8" t="str">
        <f>"T1 201701267902"</f>
        <v>T1 201701267902</v>
      </c>
      <c r="I8" t="str">
        <f>"FED WITHHOLDINGS"</f>
        <v>FED WITHHOLDINGS</v>
      </c>
      <c r="J8" s="2">
        <v>254.4</v>
      </c>
    </row>
    <row r="9" spans="7:10" ht="15">
      <c r="G9" t="s">
        <v>13</v>
      </c>
      <c r="H9" t="str">
        <f>"T1 201702017903"</f>
        <v>T1 201702017903</v>
      </c>
      <c r="I9" t="str">
        <f>"FED WITHHOLDINGS"</f>
        <v>FED WITHHOLDINGS</v>
      </c>
      <c r="J9" s="2">
        <v>12018.22</v>
      </c>
    </row>
    <row r="10" spans="7:10" ht="15">
      <c r="G10" t="s">
        <v>13</v>
      </c>
      <c r="H10" t="str">
        <f>"T3 201701267902"</f>
        <v>T3 201701267902</v>
      </c>
      <c r="I10" t="str">
        <f>"FICA WITHHOLDINGS"</f>
        <v>FICA WITHHOLDINGS</v>
      </c>
      <c r="J10" s="2">
        <v>250.6</v>
      </c>
    </row>
    <row r="11" spans="7:10" ht="15">
      <c r="G11" t="s">
        <v>13</v>
      </c>
      <c r="H11" t="str">
        <f>"T3 201702017903"</f>
        <v>T3 201702017903</v>
      </c>
      <c r="I11" t="str">
        <f>"FICA WITHHOLDINGS"</f>
        <v>FICA WITHHOLDINGS</v>
      </c>
      <c r="J11" s="2">
        <v>13804.76</v>
      </c>
    </row>
    <row r="12" spans="7:10" ht="15">
      <c r="G12" t="s">
        <v>13</v>
      </c>
      <c r="H12" t="str">
        <f>"T4 201701267902"</f>
        <v>T4 201701267902</v>
      </c>
      <c r="I12" t="str">
        <f>"MEDICARE WITHHOLDINGS"</f>
        <v>MEDICARE WITHHOLDINGS</v>
      </c>
      <c r="J12" s="2">
        <v>58.6</v>
      </c>
    </row>
    <row r="13" spans="7:10" ht="15">
      <c r="G13" t="s">
        <v>13</v>
      </c>
      <c r="H13" t="str">
        <f>"T4 201702017903"</f>
        <v>T4 201702017903</v>
      </c>
      <c r="I13" t="str">
        <f>"MEDICARE WITHHOLDINGS"</f>
        <v>MEDICARE WITHHOLDINGS</v>
      </c>
      <c r="J13" s="2">
        <v>3228.5</v>
      </c>
    </row>
    <row r="14" spans="1:10" ht="15">
      <c r="A14" t="s">
        <v>10</v>
      </c>
      <c r="B14" t="s">
        <v>11</v>
      </c>
      <c r="C14">
        <v>0</v>
      </c>
      <c r="D14" s="2">
        <v>35357.75</v>
      </c>
      <c r="E14" s="1">
        <v>42781</v>
      </c>
      <c r="F14" t="s">
        <v>12</v>
      </c>
      <c r="G14" t="s">
        <v>13</v>
      </c>
      <c r="H14" t="str">
        <f>"T1 201702097914"</f>
        <v>T1 201702097914</v>
      </c>
      <c r="I14" t="str">
        <f>"FED WITHHOLDINGS"</f>
        <v>FED WITHHOLDINGS</v>
      </c>
      <c r="J14" s="2">
        <v>1826.38</v>
      </c>
    </row>
    <row r="15" spans="7:10" ht="15">
      <c r="G15" t="s">
        <v>13</v>
      </c>
      <c r="H15" t="str">
        <f>"T1 201702107916"</f>
        <v>T1 201702107916</v>
      </c>
      <c r="I15" t="str">
        <f>"FED WITHHOLDINGS"</f>
        <v>FED WITHHOLDINGS</v>
      </c>
      <c r="J15" s="2">
        <v>1642.4</v>
      </c>
    </row>
    <row r="16" spans="7:10" ht="15">
      <c r="G16" t="s">
        <v>13</v>
      </c>
      <c r="H16" t="str">
        <f>"T1 201702157922"</f>
        <v>T1 201702157922</v>
      </c>
      <c r="I16" t="str">
        <f>"FED WITHHOLDINGS"</f>
        <v>FED WITHHOLDINGS</v>
      </c>
      <c r="J16" s="2">
        <v>12217.49</v>
      </c>
    </row>
    <row r="17" spans="7:10" ht="15">
      <c r="G17" t="s">
        <v>13</v>
      </c>
      <c r="H17" t="str">
        <f>"T3 201702097914"</f>
        <v>T3 201702097914</v>
      </c>
      <c r="I17" t="str">
        <f>"FICA WITHHOLDINGS"</f>
        <v>FICA WITHHOLDINGS</v>
      </c>
      <c r="J17" s="2">
        <v>984.78</v>
      </c>
    </row>
    <row r="18" spans="7:10" ht="15">
      <c r="G18" t="s">
        <v>13</v>
      </c>
      <c r="H18" t="str">
        <f>"T3 201702107916"</f>
        <v>T3 201702107916</v>
      </c>
      <c r="I18" t="str">
        <f>"FICA WITHHOLDINGS"</f>
        <v>FICA WITHHOLDINGS</v>
      </c>
      <c r="J18" s="2">
        <v>992</v>
      </c>
    </row>
    <row r="19" spans="7:10" ht="15">
      <c r="G19" t="s">
        <v>13</v>
      </c>
      <c r="H19" t="str">
        <f>"T3 201702157922"</f>
        <v>T3 201702157922</v>
      </c>
      <c r="I19" t="str">
        <f>"FICA WITHHOLDINGS"</f>
        <v>FICA WITHHOLDINGS</v>
      </c>
      <c r="J19" s="2">
        <v>13966.12</v>
      </c>
    </row>
    <row r="20" spans="7:10" ht="15">
      <c r="G20" t="s">
        <v>13</v>
      </c>
      <c r="H20" t="str">
        <f>"T4 201702097914"</f>
        <v>T4 201702097914</v>
      </c>
      <c r="I20" t="str">
        <f>"MEDICARE WITHHOLDINGS"</f>
        <v>MEDICARE WITHHOLDINGS</v>
      </c>
      <c r="J20" s="2">
        <v>230.32</v>
      </c>
    </row>
    <row r="21" spans="7:10" ht="15">
      <c r="G21" t="s">
        <v>13</v>
      </c>
      <c r="H21" t="str">
        <f>"T4 201702107916"</f>
        <v>T4 201702107916</v>
      </c>
      <c r="I21" t="str">
        <f>"MEDICARE WITHHOLDINGS"</f>
        <v>MEDICARE WITHHOLDINGS</v>
      </c>
      <c r="J21" s="2">
        <v>232</v>
      </c>
    </row>
    <row r="22" spans="7:10" ht="15">
      <c r="G22" t="s">
        <v>13</v>
      </c>
      <c r="H22" t="str">
        <f>"T4 201702157922"</f>
        <v>T4 201702157922</v>
      </c>
      <c r="I22" t="str">
        <f>"MEDICARE WITHHOLDINGS"</f>
        <v>MEDICARE WITHHOLDINGS</v>
      </c>
      <c r="J22" s="2">
        <v>3266.26</v>
      </c>
    </row>
    <row r="23" spans="1:10" ht="15">
      <c r="A23" t="s">
        <v>10</v>
      </c>
      <c r="B23" t="s">
        <v>11</v>
      </c>
      <c r="C23">
        <v>0</v>
      </c>
      <c r="D23" s="2">
        <v>30167.27</v>
      </c>
      <c r="E23" s="1">
        <v>42795</v>
      </c>
      <c r="F23" t="s">
        <v>12</v>
      </c>
      <c r="G23" t="s">
        <v>13</v>
      </c>
      <c r="H23" t="str">
        <f>"T1 201703017924"</f>
        <v>T1 201703017924</v>
      </c>
      <c r="I23" t="str">
        <f>"FED WITHHOLDINGS"</f>
        <v>FED WITHHOLDINGS</v>
      </c>
      <c r="J23" s="2">
        <v>12527.19</v>
      </c>
    </row>
    <row r="24" spans="7:10" ht="15">
      <c r="G24" t="s">
        <v>13</v>
      </c>
      <c r="H24" t="str">
        <f>"T3 201703017924"</f>
        <v>T3 201703017924</v>
      </c>
      <c r="I24" t="str">
        <f>"FICA WITHHOLDINGS"</f>
        <v>FICA WITHHOLDINGS</v>
      </c>
      <c r="J24" s="2">
        <v>14296.54</v>
      </c>
    </row>
    <row r="25" spans="7:10" ht="15">
      <c r="G25" t="s">
        <v>13</v>
      </c>
      <c r="H25" t="str">
        <f>"T4 201703017924"</f>
        <v>T4 201703017924</v>
      </c>
      <c r="I25" t="str">
        <f>"MEDICARE WITHHOLDINGS"</f>
        <v>MEDICARE WITHHOLDINGS</v>
      </c>
      <c r="J25" s="2">
        <v>3343.54</v>
      </c>
    </row>
    <row r="26" spans="1:10" ht="15">
      <c r="A26" t="s">
        <v>10</v>
      </c>
      <c r="B26" t="s">
        <v>11</v>
      </c>
      <c r="C26">
        <v>0</v>
      </c>
      <c r="D26" s="2">
        <v>30372.73</v>
      </c>
      <c r="E26" s="1">
        <v>42808</v>
      </c>
      <c r="F26" t="s">
        <v>12</v>
      </c>
      <c r="G26" t="s">
        <v>13</v>
      </c>
      <c r="H26" t="str">
        <f>"T1 201703147943"</f>
        <v>T1 201703147943</v>
      </c>
      <c r="I26" t="str">
        <f>"FED WITHHOLDINGS"</f>
        <v>FED WITHHOLDINGS</v>
      </c>
      <c r="J26" s="2">
        <v>12716.95</v>
      </c>
    </row>
    <row r="27" spans="7:10" ht="15">
      <c r="G27" t="s">
        <v>13</v>
      </c>
      <c r="H27" t="str">
        <f>"T3 201703147943"</f>
        <v>T3 201703147943</v>
      </c>
      <c r="I27" t="str">
        <f>"FICA WITHHOLDINGS"</f>
        <v>FICA WITHHOLDINGS</v>
      </c>
      <c r="J27" s="2">
        <v>14309.22</v>
      </c>
    </row>
    <row r="28" spans="7:10" ht="15">
      <c r="G28" t="s">
        <v>13</v>
      </c>
      <c r="H28" t="str">
        <f>"T4 201703147943"</f>
        <v>T4 201703147943</v>
      </c>
      <c r="I28" t="str">
        <f>"MEDICARE WITHHOLDINGS"</f>
        <v>MEDICARE WITHHOLDINGS</v>
      </c>
      <c r="J28" s="2">
        <v>3346.56</v>
      </c>
    </row>
    <row r="29" spans="1:10" ht="15">
      <c r="A29" t="s">
        <v>10</v>
      </c>
      <c r="B29" t="s">
        <v>11</v>
      </c>
      <c r="C29">
        <v>0</v>
      </c>
      <c r="D29" s="2">
        <v>30940.03</v>
      </c>
      <c r="E29" s="1">
        <v>42823</v>
      </c>
      <c r="F29" t="s">
        <v>12</v>
      </c>
      <c r="G29" t="s">
        <v>13</v>
      </c>
      <c r="H29" t="str">
        <f>"T1 201703297952"</f>
        <v>T1 201703297952</v>
      </c>
      <c r="I29" t="str">
        <f>"FED WITHHOLDINGS"</f>
        <v>FED WITHHOLDINGS</v>
      </c>
      <c r="J29" s="2">
        <v>12971.25</v>
      </c>
    </row>
    <row r="30" spans="7:10" ht="15">
      <c r="G30" t="s">
        <v>13</v>
      </c>
      <c r="H30" t="str">
        <f>"T3 201703297952"</f>
        <v>T3 201703297952</v>
      </c>
      <c r="I30" t="str">
        <f>"FICA WITHHOLDINGS"</f>
        <v>FICA WITHHOLDINGS</v>
      </c>
      <c r="J30" s="2">
        <v>14562.96</v>
      </c>
    </row>
    <row r="31" spans="7:10" ht="15">
      <c r="G31" t="s">
        <v>13</v>
      </c>
      <c r="H31" t="str">
        <f>"T4 201703297952"</f>
        <v>T4 201703297952</v>
      </c>
      <c r="I31" t="str">
        <f>"MEDICARE WITHHOLDINGS"</f>
        <v>MEDICARE WITHHOLDINGS</v>
      </c>
      <c r="J31" s="2">
        <v>3405.82</v>
      </c>
    </row>
    <row r="32" spans="1:10" ht="15">
      <c r="A32" t="s">
        <v>10</v>
      </c>
      <c r="B32" t="s">
        <v>11</v>
      </c>
      <c r="C32">
        <v>0</v>
      </c>
      <c r="D32" s="2">
        <v>114.98</v>
      </c>
      <c r="E32" s="1">
        <v>42830</v>
      </c>
      <c r="F32" t="s">
        <v>12</v>
      </c>
      <c r="G32" t="s">
        <v>13</v>
      </c>
      <c r="H32" t="str">
        <f>"T1 201703097935"</f>
        <v>T1 201703097935</v>
      </c>
      <c r="I32" t="str">
        <f>"FED WITHHOLDINGS"</f>
        <v>FED WITHHOLDINGS</v>
      </c>
      <c r="J32" s="2">
        <v>30.68</v>
      </c>
    </row>
    <row r="33" spans="7:10" ht="15">
      <c r="G33" t="s">
        <v>13</v>
      </c>
      <c r="H33" t="str">
        <f>"T3 201703097935"</f>
        <v>T3 201703097935</v>
      </c>
      <c r="I33" t="str">
        <f>"FICA WITHHOLDINGS"</f>
        <v>FICA WITHHOLDINGS</v>
      </c>
      <c r="J33" s="2">
        <v>68.32</v>
      </c>
    </row>
    <row r="34" spans="7:10" ht="15">
      <c r="G34" t="s">
        <v>13</v>
      </c>
      <c r="H34" t="str">
        <f>"T4 201703097935"</f>
        <v>T4 201703097935</v>
      </c>
      <c r="I34" t="str">
        <f>"MEDICARE WITHHOLDINGS"</f>
        <v>MEDICARE WITHHOLDINGS</v>
      </c>
      <c r="J34" s="2">
        <v>15.98</v>
      </c>
    </row>
    <row r="35" spans="1:10" ht="15">
      <c r="A35" t="s">
        <v>10</v>
      </c>
      <c r="B35" t="s">
        <v>11</v>
      </c>
      <c r="C35">
        <v>0</v>
      </c>
      <c r="D35" s="2">
        <v>29878.01</v>
      </c>
      <c r="E35" s="1">
        <v>42837</v>
      </c>
      <c r="F35" t="s">
        <v>12</v>
      </c>
      <c r="G35" t="s">
        <v>13</v>
      </c>
      <c r="H35" t="str">
        <f>"T1 201704127962"</f>
        <v>T1 201704127962</v>
      </c>
      <c r="I35" t="str">
        <f>"FED WITHHOLDINGS"</f>
        <v>FED WITHHOLDINGS</v>
      </c>
      <c r="J35" s="2">
        <v>12310.05</v>
      </c>
    </row>
    <row r="36" spans="7:10" ht="15">
      <c r="G36" t="s">
        <v>13</v>
      </c>
      <c r="H36" t="str">
        <f>"T3 201704127962"</f>
        <v>T3 201704127962</v>
      </c>
      <c r="I36" t="str">
        <f>"FICA WITHHOLDINGS"</f>
        <v>FICA WITHHOLDINGS</v>
      </c>
      <c r="J36" s="2">
        <v>14238.08</v>
      </c>
    </row>
    <row r="37" spans="7:10" ht="15">
      <c r="G37" t="s">
        <v>13</v>
      </c>
      <c r="H37" t="str">
        <f>"T4 201704127962"</f>
        <v>T4 201704127962</v>
      </c>
      <c r="I37" t="str">
        <f>"MEDICARE WITHHOLDINGS"</f>
        <v>MEDICARE WITHHOLDINGS</v>
      </c>
      <c r="J37" s="2">
        <v>3329.88</v>
      </c>
    </row>
    <row r="38" spans="1:10" ht="15">
      <c r="A38" t="s">
        <v>10</v>
      </c>
      <c r="B38" t="s">
        <v>11</v>
      </c>
      <c r="C38">
        <v>0</v>
      </c>
      <c r="D38" s="2">
        <v>31271.42</v>
      </c>
      <c r="E38" s="1">
        <v>42851</v>
      </c>
      <c r="F38" t="s">
        <v>12</v>
      </c>
      <c r="G38" t="s">
        <v>13</v>
      </c>
      <c r="H38" t="str">
        <f>"T1 201704267976"</f>
        <v>T1 201704267976</v>
      </c>
      <c r="I38" t="str">
        <f>"FED WITHHOLDINGS"</f>
        <v>FED WITHHOLDINGS</v>
      </c>
      <c r="J38" s="2">
        <v>12937.08</v>
      </c>
    </row>
    <row r="39" spans="7:10" ht="15">
      <c r="G39" t="s">
        <v>13</v>
      </c>
      <c r="H39" t="str">
        <f>"T3 201704267976"</f>
        <v>T3 201704267976</v>
      </c>
      <c r="I39" t="str">
        <f>"FICA WITHHOLDINGS"</f>
        <v>FICA WITHHOLDINGS</v>
      </c>
      <c r="J39" s="2">
        <v>14859.22</v>
      </c>
    </row>
    <row r="40" spans="7:10" ht="15">
      <c r="G40" t="s">
        <v>13</v>
      </c>
      <c r="H40" t="str">
        <f>"T4 201704267976"</f>
        <v>T4 201704267976</v>
      </c>
      <c r="I40" t="str">
        <f>"MEDICARE WITHHOLDINGS"</f>
        <v>MEDICARE WITHHOLDINGS</v>
      </c>
      <c r="J40" s="2">
        <v>3475.12</v>
      </c>
    </row>
    <row r="41" spans="1:10" ht="15">
      <c r="A41" t="s">
        <v>10</v>
      </c>
      <c r="B41" t="s">
        <v>11</v>
      </c>
      <c r="C41">
        <v>0</v>
      </c>
      <c r="D41" s="2">
        <v>32238.53</v>
      </c>
      <c r="E41" s="1">
        <v>42865</v>
      </c>
      <c r="F41" t="s">
        <v>12</v>
      </c>
      <c r="G41" t="s">
        <v>13</v>
      </c>
      <c r="H41" t="str">
        <f>"T1 201705047987"</f>
        <v>T1 201705047987</v>
      </c>
      <c r="I41" t="str">
        <f>"FED WITHHOLDINGS"</f>
        <v>FED WITHHOLDINGS</v>
      </c>
      <c r="J41" s="2">
        <v>19.71</v>
      </c>
    </row>
    <row r="42" spans="7:10" ht="15">
      <c r="G42" t="s">
        <v>13</v>
      </c>
      <c r="H42" t="str">
        <f>"T1 201705107995"</f>
        <v>T1 201705107995</v>
      </c>
      <c r="I42" t="str">
        <f>"FED WITHHOLDINGS"</f>
        <v>FED WITHHOLDINGS</v>
      </c>
      <c r="J42" s="2">
        <v>13423.6</v>
      </c>
    </row>
    <row r="43" spans="7:10" ht="15">
      <c r="G43" t="s">
        <v>13</v>
      </c>
      <c r="H43" t="str">
        <f>"T3 201705047987"</f>
        <v>T3 201705047987</v>
      </c>
      <c r="I43" t="str">
        <f>"FICA WITHHOLDINGS"</f>
        <v>FICA WITHHOLDINGS</v>
      </c>
      <c r="J43" s="2">
        <v>77.94</v>
      </c>
    </row>
    <row r="44" spans="7:10" ht="15">
      <c r="G44" t="s">
        <v>13</v>
      </c>
      <c r="H44" t="str">
        <f>"T3 201705107995"</f>
        <v>T3 201705107995</v>
      </c>
      <c r="I44" t="str">
        <f>"FICA WITHHOLDINGS"</f>
        <v>FICA WITHHOLDINGS</v>
      </c>
      <c r="J44" s="2">
        <v>15154.84</v>
      </c>
    </row>
    <row r="45" spans="7:10" ht="15">
      <c r="G45" t="s">
        <v>13</v>
      </c>
      <c r="H45" t="str">
        <f>"T4 201705047987"</f>
        <v>T4 201705047987</v>
      </c>
      <c r="I45" t="str">
        <f>"MEDICARE WITHHOLDINGS"</f>
        <v>MEDICARE WITHHOLDINGS</v>
      </c>
      <c r="J45" s="2">
        <v>18.22</v>
      </c>
    </row>
    <row r="46" spans="7:10" ht="15">
      <c r="G46" t="s">
        <v>13</v>
      </c>
      <c r="H46" t="str">
        <f>"T4 201705107995"</f>
        <v>T4 201705107995</v>
      </c>
      <c r="I46" t="str">
        <f>"MEDICARE WITHHOLDINGS"</f>
        <v>MEDICARE WITHHOLDINGS</v>
      </c>
      <c r="J46" s="2">
        <v>3544.22</v>
      </c>
    </row>
    <row r="47" spans="1:10" ht="15">
      <c r="A47" t="s">
        <v>10</v>
      </c>
      <c r="B47" t="s">
        <v>11</v>
      </c>
      <c r="C47">
        <v>0</v>
      </c>
      <c r="D47" s="2">
        <v>31094.68</v>
      </c>
      <c r="E47" s="1">
        <v>42878</v>
      </c>
      <c r="F47" t="s">
        <v>12</v>
      </c>
      <c r="G47" t="s">
        <v>13</v>
      </c>
      <c r="H47" t="str">
        <f>"T1 201705238002"</f>
        <v>T1 201705238002</v>
      </c>
      <c r="I47" t="str">
        <f>"FED WITHHOLDINGS"</f>
        <v>FED WITHHOLDINGS</v>
      </c>
      <c r="J47" s="2">
        <v>12879.8</v>
      </c>
    </row>
    <row r="48" spans="7:10" ht="15">
      <c r="G48" t="s">
        <v>13</v>
      </c>
      <c r="H48" t="str">
        <f>"T3 201705238002"</f>
        <v>T3 201705238002</v>
      </c>
      <c r="I48" t="str">
        <f>"FICA WITHHOLDINGS"</f>
        <v>FICA WITHHOLDINGS</v>
      </c>
      <c r="J48" s="2">
        <v>14762.32</v>
      </c>
    </row>
    <row r="49" spans="7:10" ht="15">
      <c r="G49" t="s">
        <v>13</v>
      </c>
      <c r="H49" t="str">
        <f>"T4 201705238002"</f>
        <v>T4 201705238002</v>
      </c>
      <c r="I49" t="str">
        <f>"MEDICARE WITHHOLDINGS"</f>
        <v>MEDICARE WITHHOLDINGS</v>
      </c>
      <c r="J49" s="2">
        <v>3452.56</v>
      </c>
    </row>
    <row r="50" spans="1:10" ht="15">
      <c r="A50" t="s">
        <v>10</v>
      </c>
      <c r="B50" t="s">
        <v>11</v>
      </c>
      <c r="C50">
        <v>0</v>
      </c>
      <c r="D50" s="2">
        <v>31544.92</v>
      </c>
      <c r="E50" s="1">
        <v>42893</v>
      </c>
      <c r="F50" t="s">
        <v>12</v>
      </c>
      <c r="G50" t="s">
        <v>13</v>
      </c>
      <c r="H50" t="str">
        <f>"T1 201706078017"</f>
        <v>T1 201706078017</v>
      </c>
      <c r="I50" t="str">
        <f>"FED WITHHOLDINGS"</f>
        <v>FED WITHHOLDINGS</v>
      </c>
      <c r="J50" s="2">
        <v>13022.46</v>
      </c>
    </row>
    <row r="51" spans="7:10" ht="15">
      <c r="G51" t="s">
        <v>13</v>
      </c>
      <c r="H51" t="str">
        <f>"T3 201706078017"</f>
        <v>T3 201706078017</v>
      </c>
      <c r="I51" t="str">
        <f>"FICA WITHHOLDINGS"</f>
        <v>FICA WITHHOLDINGS</v>
      </c>
      <c r="J51" s="2">
        <v>15011.72</v>
      </c>
    </row>
    <row r="52" spans="7:10" ht="15">
      <c r="G52" t="s">
        <v>13</v>
      </c>
      <c r="H52" t="str">
        <f>"T4 201706078017"</f>
        <v>T4 201706078017</v>
      </c>
      <c r="I52" t="str">
        <f>"MEDICARE WITHHOLDINGS"</f>
        <v>MEDICARE WITHHOLDINGS</v>
      </c>
      <c r="J52" s="2">
        <v>3510.74</v>
      </c>
    </row>
    <row r="53" spans="1:10" ht="15">
      <c r="A53" t="s">
        <v>10</v>
      </c>
      <c r="B53" t="s">
        <v>11</v>
      </c>
      <c r="C53">
        <v>0</v>
      </c>
      <c r="D53" s="2">
        <v>33385.1</v>
      </c>
      <c r="E53" s="1">
        <v>42907</v>
      </c>
      <c r="F53" t="s">
        <v>12</v>
      </c>
      <c r="G53" t="s">
        <v>13</v>
      </c>
      <c r="H53" t="str">
        <f>"T1 201706218032"</f>
        <v>T1 201706218032</v>
      </c>
      <c r="I53" t="str">
        <f>"FED WITHHOLDINGS"</f>
        <v>FED WITHHOLDINGS</v>
      </c>
      <c r="J53" s="2">
        <v>13825.92</v>
      </c>
    </row>
    <row r="54" spans="7:10" ht="15">
      <c r="G54" t="s">
        <v>13</v>
      </c>
      <c r="H54" t="str">
        <f>"T3 201706218032"</f>
        <v>T3 201706218032</v>
      </c>
      <c r="I54" t="str">
        <f>"FICA WITHHOLDINGS"</f>
        <v>FICA WITHHOLDINGS</v>
      </c>
      <c r="J54" s="2">
        <v>15851.86</v>
      </c>
    </row>
    <row r="55" spans="7:10" ht="15">
      <c r="G55" t="s">
        <v>13</v>
      </c>
      <c r="H55" t="str">
        <f>"T4 201706218032"</f>
        <v>T4 201706218032</v>
      </c>
      <c r="I55" t="str">
        <f>"MEDICARE WITHHOLDINGS"</f>
        <v>MEDICARE WITHHOLDINGS</v>
      </c>
      <c r="J55" s="2">
        <v>3707.32</v>
      </c>
    </row>
    <row r="56" spans="1:10" ht="15">
      <c r="A56" t="s">
        <v>10</v>
      </c>
      <c r="B56" t="s">
        <v>11</v>
      </c>
      <c r="C56">
        <v>0</v>
      </c>
      <c r="D56" s="2">
        <v>33869.5</v>
      </c>
      <c r="E56" s="1">
        <v>42921</v>
      </c>
      <c r="F56" t="s">
        <v>12</v>
      </c>
      <c r="G56" t="s">
        <v>13</v>
      </c>
      <c r="H56" t="str">
        <f>"T1 201707058043"</f>
        <v>T1 201707058043</v>
      </c>
      <c r="I56" t="str">
        <f>"FED WITHHOLDINGS"</f>
        <v>FED WITHHOLDINGS</v>
      </c>
      <c r="J56" s="2">
        <v>14184.14</v>
      </c>
    </row>
    <row r="57" spans="7:10" ht="15">
      <c r="G57" t="s">
        <v>13</v>
      </c>
      <c r="H57" t="str">
        <f>"T3 201707058043"</f>
        <v>T3 201707058043</v>
      </c>
      <c r="I57" t="str">
        <f>"FICA WITHHOLDINGS"</f>
        <v>FICA WITHHOLDINGS</v>
      </c>
      <c r="J57" s="2">
        <v>15954.12</v>
      </c>
    </row>
    <row r="58" spans="7:10" ht="15">
      <c r="G58" t="s">
        <v>13</v>
      </c>
      <c r="H58" t="str">
        <f>"T4 201707058043"</f>
        <v>T4 201707058043</v>
      </c>
      <c r="I58" t="str">
        <f>"MEDICARE WITHHOLDINGS"</f>
        <v>MEDICARE WITHHOLDINGS</v>
      </c>
      <c r="J58" s="2">
        <v>3731.24</v>
      </c>
    </row>
    <row r="59" spans="1:10" ht="15">
      <c r="A59" t="s">
        <v>10</v>
      </c>
      <c r="B59" t="s">
        <v>11</v>
      </c>
      <c r="C59">
        <v>0</v>
      </c>
      <c r="D59" s="2">
        <v>33275.49</v>
      </c>
      <c r="E59" s="1">
        <v>42935</v>
      </c>
      <c r="F59" t="s">
        <v>12</v>
      </c>
      <c r="G59" t="s">
        <v>13</v>
      </c>
      <c r="H59" t="str">
        <f>"T1 201707198053"</f>
        <v>T1 201707198053</v>
      </c>
      <c r="I59" t="str">
        <f>"FED WITHHOLDINGS"</f>
        <v>FED WITHHOLDINGS</v>
      </c>
      <c r="J59" s="2">
        <v>13840.99</v>
      </c>
    </row>
    <row r="60" spans="7:10" ht="15">
      <c r="G60" t="s">
        <v>13</v>
      </c>
      <c r="H60" t="str">
        <f>"T3 201707198053"</f>
        <v>T3 201707198053</v>
      </c>
      <c r="I60" t="str">
        <f>"FICA WITHHOLDINGS"</f>
        <v>FICA WITHHOLDINGS</v>
      </c>
      <c r="J60" s="2">
        <v>15750.92</v>
      </c>
    </row>
    <row r="61" spans="7:10" ht="15">
      <c r="G61" t="s">
        <v>13</v>
      </c>
      <c r="H61" t="str">
        <f>"T4 201707198053"</f>
        <v>T4 201707198053</v>
      </c>
      <c r="I61" t="str">
        <f>"MEDICARE WITHHOLDINGS"</f>
        <v>MEDICARE WITHHOLDINGS</v>
      </c>
      <c r="J61" s="2">
        <v>3683.58</v>
      </c>
    </row>
    <row r="62" spans="1:10" ht="15">
      <c r="A62" t="s">
        <v>10</v>
      </c>
      <c r="B62" t="s">
        <v>11</v>
      </c>
      <c r="C62">
        <v>0</v>
      </c>
      <c r="D62" s="2">
        <v>33008.1</v>
      </c>
      <c r="E62" s="1">
        <v>42949</v>
      </c>
      <c r="F62" t="s">
        <v>12</v>
      </c>
      <c r="G62" t="s">
        <v>13</v>
      </c>
      <c r="H62" t="str">
        <f>"T1 201708028070"</f>
        <v>T1 201708028070</v>
      </c>
      <c r="I62" t="str">
        <f>"FED WITHHOLDINGS"</f>
        <v>FED WITHHOLDINGS</v>
      </c>
      <c r="J62" s="2">
        <v>13795.92</v>
      </c>
    </row>
    <row r="63" spans="7:10" ht="15">
      <c r="G63" t="s">
        <v>13</v>
      </c>
      <c r="H63" t="str">
        <f>"T3 201708028070"</f>
        <v>T3 201708028070</v>
      </c>
      <c r="I63" t="str">
        <f>"FICA WITHHOLDINGS"</f>
        <v>FICA WITHHOLDINGS</v>
      </c>
      <c r="J63" s="2">
        <v>15570.66</v>
      </c>
    </row>
    <row r="64" spans="7:10" ht="15">
      <c r="G64" t="s">
        <v>13</v>
      </c>
      <c r="H64" t="str">
        <f>"T4 201708028070"</f>
        <v>T4 201708028070</v>
      </c>
      <c r="I64" t="str">
        <f>"MEDICARE WITHHOLDINGS"</f>
        <v>MEDICARE WITHHOLDINGS</v>
      </c>
      <c r="J64" s="2">
        <v>3641.52</v>
      </c>
    </row>
    <row r="65" spans="1:10" ht="15">
      <c r="A65" t="s">
        <v>10</v>
      </c>
      <c r="B65" t="s">
        <v>11</v>
      </c>
      <c r="C65">
        <v>0</v>
      </c>
      <c r="D65" s="2">
        <v>33163.87</v>
      </c>
      <c r="E65" s="1">
        <v>42963</v>
      </c>
      <c r="F65" t="s">
        <v>12</v>
      </c>
      <c r="G65" t="s">
        <v>13</v>
      </c>
      <c r="H65" t="str">
        <f>"T1 201708108077"</f>
        <v>T1 201708108077</v>
      </c>
      <c r="I65" t="str">
        <f>"FED WITHHOLDINGS"</f>
        <v>FED WITHHOLDINGS</v>
      </c>
      <c r="J65" s="2">
        <v>30.29</v>
      </c>
    </row>
    <row r="66" spans="7:10" ht="15">
      <c r="G66" t="s">
        <v>13</v>
      </c>
      <c r="H66" t="str">
        <f>"T1 201708168078"</f>
        <v>T1 201708168078</v>
      </c>
      <c r="I66" t="str">
        <f>"FED WITHHOLDINGS"</f>
        <v>FED WITHHOLDINGS</v>
      </c>
      <c r="J66" s="2">
        <v>13895.54</v>
      </c>
    </row>
    <row r="67" spans="7:10" ht="15">
      <c r="G67" t="s">
        <v>13</v>
      </c>
      <c r="H67" t="str">
        <f>"T3 201708108077"</f>
        <v>T3 201708108077</v>
      </c>
      <c r="I67" t="str">
        <f>"FICA WITHHOLDINGS"</f>
        <v>FICA WITHHOLDINGS</v>
      </c>
      <c r="J67" s="2">
        <v>92.12</v>
      </c>
    </row>
    <row r="68" spans="7:10" ht="15">
      <c r="G68" t="s">
        <v>13</v>
      </c>
      <c r="H68" t="str">
        <f>"T3 201708168078"</f>
        <v>T3 201708168078</v>
      </c>
      <c r="I68" t="str">
        <f>"FICA WITHHOLDINGS"</f>
        <v>FICA WITHHOLDINGS</v>
      </c>
      <c r="J68" s="2">
        <v>15499.58</v>
      </c>
    </row>
    <row r="69" spans="7:10" ht="15">
      <c r="G69" t="s">
        <v>13</v>
      </c>
      <c r="H69" t="str">
        <f>"T4 201708108077"</f>
        <v>T4 201708108077</v>
      </c>
      <c r="I69" t="str">
        <f>"MEDICARE WITHHOLDINGS"</f>
        <v>MEDICARE WITHHOLDINGS</v>
      </c>
      <c r="J69" s="2">
        <v>21.54</v>
      </c>
    </row>
    <row r="70" spans="7:10" ht="15">
      <c r="G70" t="s">
        <v>13</v>
      </c>
      <c r="H70" t="str">
        <f>"T4 201708168078"</f>
        <v>T4 201708168078</v>
      </c>
      <c r="I70" t="str">
        <f>"MEDICARE WITHHOLDINGS"</f>
        <v>MEDICARE WITHHOLDINGS</v>
      </c>
      <c r="J70" s="2">
        <v>3624.8</v>
      </c>
    </row>
    <row r="71" spans="1:10" ht="15">
      <c r="A71" t="s">
        <v>10</v>
      </c>
      <c r="B71" t="s">
        <v>11</v>
      </c>
      <c r="C71">
        <v>0</v>
      </c>
      <c r="D71" s="2">
        <v>34138.82</v>
      </c>
      <c r="E71" s="1">
        <v>42977</v>
      </c>
      <c r="F71" t="s">
        <v>12</v>
      </c>
      <c r="G71" t="s">
        <v>13</v>
      </c>
      <c r="H71" t="str">
        <f>"T1 201708308101"</f>
        <v>T1 201708308101</v>
      </c>
      <c r="I71" t="str">
        <f>"FED WITHHOLDINGS"</f>
        <v>FED WITHHOLDINGS</v>
      </c>
      <c r="J71" s="2">
        <v>14664.62</v>
      </c>
    </row>
    <row r="72" spans="7:10" ht="15">
      <c r="G72" t="s">
        <v>13</v>
      </c>
      <c r="H72" t="str">
        <f>"T3 201708308101"</f>
        <v>T3 201708308101</v>
      </c>
      <c r="I72" t="str">
        <f>"FICA WITHHOLDINGS"</f>
        <v>FICA WITHHOLDINGS</v>
      </c>
      <c r="J72" s="2">
        <v>15783.08</v>
      </c>
    </row>
    <row r="73" spans="7:10" ht="15">
      <c r="G73" t="s">
        <v>13</v>
      </c>
      <c r="H73" t="str">
        <f>"T4 201708308101"</f>
        <v>T4 201708308101</v>
      </c>
      <c r="I73" t="str">
        <f>"MEDICARE WITHHOLDINGS"</f>
        <v>MEDICARE WITHHOLDINGS</v>
      </c>
      <c r="J73" s="2">
        <v>3691.12</v>
      </c>
    </row>
    <row r="74" spans="1:10" ht="15">
      <c r="A74" t="s">
        <v>10</v>
      </c>
      <c r="B74" t="s">
        <v>11</v>
      </c>
      <c r="C74">
        <v>0</v>
      </c>
      <c r="D74" s="2">
        <v>31354</v>
      </c>
      <c r="E74" s="1">
        <v>42992</v>
      </c>
      <c r="F74" t="s">
        <v>12</v>
      </c>
      <c r="G74" t="s">
        <v>13</v>
      </c>
      <c r="H74" t="str">
        <f>"T1 201709148108"</f>
        <v>T1 201709148108</v>
      </c>
      <c r="I74" t="str">
        <f>"FED WITHHOLDINGS"</f>
        <v>FED WITHHOLDINGS</v>
      </c>
      <c r="J74" s="2">
        <v>13306.08</v>
      </c>
    </row>
    <row r="75" spans="7:10" ht="15">
      <c r="G75" t="s">
        <v>13</v>
      </c>
      <c r="H75" t="str">
        <f>"T3 201709148108"</f>
        <v>T3 201709148108</v>
      </c>
      <c r="I75" t="str">
        <f>"FICA WITHHOLDINGS"</f>
        <v>FICA WITHHOLDINGS</v>
      </c>
      <c r="J75" s="2">
        <v>14627.12</v>
      </c>
    </row>
    <row r="76" spans="7:10" ht="15">
      <c r="G76" t="s">
        <v>13</v>
      </c>
      <c r="H76" t="str">
        <f>"T4 201709148108"</f>
        <v>T4 201709148108</v>
      </c>
      <c r="I76" t="str">
        <f>"MEDICARE WITHHOLDINGS"</f>
        <v>MEDICARE WITHHOLDINGS</v>
      </c>
      <c r="J76" s="2">
        <v>3420.8</v>
      </c>
    </row>
    <row r="77" spans="1:10" ht="15">
      <c r="A77" t="s">
        <v>10</v>
      </c>
      <c r="B77" t="s">
        <v>11</v>
      </c>
      <c r="C77">
        <v>0</v>
      </c>
      <c r="D77" s="2">
        <v>31301.46</v>
      </c>
      <c r="E77" s="1">
        <v>43005</v>
      </c>
      <c r="F77" t="s">
        <v>12</v>
      </c>
      <c r="G77" t="s">
        <v>13</v>
      </c>
      <c r="H77" t="str">
        <f>"T1 201709278128"</f>
        <v>T1 201709278128</v>
      </c>
      <c r="I77" t="str">
        <f>"FED WITHHOLDINGS"</f>
        <v>FED WITHHOLDINGS</v>
      </c>
      <c r="J77" s="2">
        <v>13287.4</v>
      </c>
    </row>
    <row r="78" spans="7:10" ht="15">
      <c r="G78" t="s">
        <v>13</v>
      </c>
      <c r="H78" t="str">
        <f>"T3 201709278128"</f>
        <v>T3 201709278128</v>
      </c>
      <c r="I78" t="str">
        <f>"FICA WITHHOLDINGS"</f>
        <v>FICA WITHHOLDINGS</v>
      </c>
      <c r="J78" s="2">
        <v>14599.58</v>
      </c>
    </row>
    <row r="79" spans="7:10" ht="15">
      <c r="G79" t="s">
        <v>13</v>
      </c>
      <c r="H79" t="str">
        <f>"T4 201709278128"</f>
        <v>T4 201709278128</v>
      </c>
      <c r="I79" t="str">
        <f>"MEDICARE WITHHOLDINGS"</f>
        <v>MEDICARE WITHHOLDINGS</v>
      </c>
      <c r="J79" s="2">
        <v>3414.48</v>
      </c>
    </row>
    <row r="80" spans="1:10" ht="15">
      <c r="A80" t="s">
        <v>10</v>
      </c>
      <c r="B80" t="s">
        <v>11</v>
      </c>
      <c r="C80">
        <v>0</v>
      </c>
      <c r="D80" s="2">
        <v>28605.47</v>
      </c>
      <c r="E80" s="1">
        <v>42656</v>
      </c>
      <c r="F80" t="s">
        <v>12</v>
      </c>
      <c r="G80" t="s">
        <v>13</v>
      </c>
      <c r="H80" t="str">
        <f>"T1 201610137718"</f>
        <v>T1 201610137718</v>
      </c>
      <c r="I80" t="str">
        <f>"FED WITHHOLDINGS"</f>
        <v>FED WITHHOLDINGS</v>
      </c>
      <c r="J80" s="2">
        <v>11991.63</v>
      </c>
    </row>
    <row r="81" spans="7:10" ht="15">
      <c r="G81" t="s">
        <v>13</v>
      </c>
      <c r="H81" t="str">
        <f>"T3 201610137718"</f>
        <v>T3 201610137718</v>
      </c>
      <c r="I81" t="str">
        <f>"FICA WITHHOLDINGS"</f>
        <v>FICA WITHHOLDINGS</v>
      </c>
      <c r="J81" s="2">
        <v>13464.82</v>
      </c>
    </row>
    <row r="82" spans="7:10" ht="15">
      <c r="G82" t="s">
        <v>13</v>
      </c>
      <c r="H82" t="str">
        <f>"T4 201610137718"</f>
        <v>T4 201610137718</v>
      </c>
      <c r="I82" t="str">
        <f>"MEDICARE WITHHOLDINGS"</f>
        <v>MEDICARE WITHHOLDINGS</v>
      </c>
      <c r="J82" s="2">
        <v>3149.02</v>
      </c>
    </row>
    <row r="83" spans="1:10" ht="15">
      <c r="A83" t="s">
        <v>10</v>
      </c>
      <c r="B83" t="s">
        <v>11</v>
      </c>
      <c r="C83">
        <v>0</v>
      </c>
      <c r="D83" s="2">
        <v>29126.14</v>
      </c>
      <c r="E83" s="1">
        <v>42669</v>
      </c>
      <c r="F83" t="s">
        <v>12</v>
      </c>
      <c r="G83" t="s">
        <v>13</v>
      </c>
      <c r="H83" t="str">
        <f>"T1 201610267731"</f>
        <v>T1 201610267731</v>
      </c>
      <c r="I83" t="str">
        <f>"FED WITHHOLDINGS"</f>
        <v>FED WITHHOLDINGS</v>
      </c>
      <c r="J83" s="2">
        <v>12306.16</v>
      </c>
    </row>
    <row r="84" spans="7:10" ht="15">
      <c r="G84" t="s">
        <v>13</v>
      </c>
      <c r="H84" t="str">
        <f>"T3 201610267731"</f>
        <v>T3 201610267731</v>
      </c>
      <c r="I84" t="str">
        <f>"FICA WITHHOLDINGS"</f>
        <v>FICA WITHHOLDINGS</v>
      </c>
      <c r="J84" s="2">
        <v>13631.92</v>
      </c>
    </row>
    <row r="85" spans="7:10" ht="15">
      <c r="G85" t="s">
        <v>13</v>
      </c>
      <c r="H85" t="str">
        <f>"T4 201610267731"</f>
        <v>T4 201610267731</v>
      </c>
      <c r="I85" t="str">
        <f>"MEDICARE WITHHOLDINGS"</f>
        <v>MEDICARE WITHHOLDINGS</v>
      </c>
      <c r="J85" s="2">
        <v>3188.06</v>
      </c>
    </row>
    <row r="86" spans="1:10" ht="15">
      <c r="A86" t="s">
        <v>10</v>
      </c>
      <c r="B86" t="s">
        <v>11</v>
      </c>
      <c r="C86">
        <v>0</v>
      </c>
      <c r="D86" s="2">
        <v>28933.43</v>
      </c>
      <c r="E86" s="1">
        <v>42682</v>
      </c>
      <c r="F86" t="s">
        <v>12</v>
      </c>
      <c r="G86" t="s">
        <v>13</v>
      </c>
      <c r="H86" t="str">
        <f>"T1 201611087771"</f>
        <v>T1 201611087771</v>
      </c>
      <c r="I86" t="str">
        <f>"FED WITHHOLDINGS"</f>
        <v>FED WITHHOLDINGS</v>
      </c>
      <c r="J86" s="2">
        <v>11956.77</v>
      </c>
    </row>
    <row r="87" spans="7:10" ht="15">
      <c r="G87" t="s">
        <v>13</v>
      </c>
      <c r="H87" t="str">
        <f>"T3 201611087771"</f>
        <v>T3 201611087771</v>
      </c>
      <c r="I87" t="str">
        <f>"FICA WITHHOLDINGS"</f>
        <v>FICA WITHHOLDINGS</v>
      </c>
      <c r="J87" s="2">
        <v>13758.88</v>
      </c>
    </row>
    <row r="88" spans="7:10" ht="15">
      <c r="G88" t="s">
        <v>13</v>
      </c>
      <c r="H88" t="str">
        <f>"T4 201611087771"</f>
        <v>T4 201611087771</v>
      </c>
      <c r="I88" t="str">
        <f>"MEDICARE WITHHOLDINGS"</f>
        <v>MEDICARE WITHHOLDINGS</v>
      </c>
      <c r="J88" s="2">
        <v>3217.78</v>
      </c>
    </row>
    <row r="89" spans="1:10" ht="15">
      <c r="A89" t="s">
        <v>10</v>
      </c>
      <c r="B89" t="s">
        <v>11</v>
      </c>
      <c r="C89">
        <v>0</v>
      </c>
      <c r="D89" s="2">
        <v>30614.44</v>
      </c>
      <c r="E89" s="1">
        <v>42695</v>
      </c>
      <c r="F89" t="s">
        <v>12</v>
      </c>
      <c r="G89" t="s">
        <v>13</v>
      </c>
      <c r="H89" t="str">
        <f>"T1 201611217793"</f>
        <v>T1 201611217793</v>
      </c>
      <c r="I89" t="str">
        <f>"FED WITHHOLDINGS"</f>
        <v>FED WITHHOLDINGS</v>
      </c>
      <c r="J89" s="2">
        <v>12887.38</v>
      </c>
    </row>
    <row r="90" spans="7:10" ht="15">
      <c r="G90" t="s">
        <v>13</v>
      </c>
      <c r="H90" t="str">
        <f>"T3 201611217793"</f>
        <v>T3 201611217793</v>
      </c>
      <c r="I90" t="str">
        <f>"FICA WITHHOLDINGS"</f>
        <v>FICA WITHHOLDINGS</v>
      </c>
      <c r="J90" s="2">
        <v>14367.06</v>
      </c>
    </row>
    <row r="91" spans="7:10" ht="15">
      <c r="G91" t="s">
        <v>13</v>
      </c>
      <c r="H91" t="str">
        <f>"T4 201611217793"</f>
        <v>T4 201611217793</v>
      </c>
      <c r="I91" t="str">
        <f>"MEDICARE WITHHOLDINGS"</f>
        <v>MEDICARE WITHHOLDINGS</v>
      </c>
      <c r="J91" s="2">
        <v>3360</v>
      </c>
    </row>
    <row r="92" spans="1:10" ht="15">
      <c r="A92" t="s">
        <v>10</v>
      </c>
      <c r="B92" t="s">
        <v>11</v>
      </c>
      <c r="C92">
        <v>0</v>
      </c>
      <c r="D92" s="2">
        <v>4161.09</v>
      </c>
      <c r="E92" s="1">
        <v>42709</v>
      </c>
      <c r="F92" t="s">
        <v>12</v>
      </c>
      <c r="G92" t="s">
        <v>13</v>
      </c>
      <c r="H92" t="str">
        <f>"T1 201612027828"</f>
        <v>T1 201612027828</v>
      </c>
      <c r="I92" t="str">
        <f>"FED WITHHOLDINGS"</f>
        <v>FED WITHHOLDINGS</v>
      </c>
      <c r="J92" s="2">
        <v>1238.53</v>
      </c>
    </row>
    <row r="93" spans="7:10" ht="15">
      <c r="G93" t="s">
        <v>13</v>
      </c>
      <c r="H93" t="str">
        <f>"T3 201612027828"</f>
        <v>T3 201612027828</v>
      </c>
      <c r="I93" t="str">
        <f>"FICA WITHHOLDINGS"</f>
        <v>FICA WITHHOLDINGS</v>
      </c>
      <c r="J93" s="2">
        <v>2368.4</v>
      </c>
    </row>
    <row r="94" spans="7:10" ht="15">
      <c r="G94" t="s">
        <v>13</v>
      </c>
      <c r="H94" t="str">
        <f>"T4 201612027828"</f>
        <v>T4 201612027828</v>
      </c>
      <c r="I94" t="str">
        <f>"MEDICARE WITHHOLDINGS"</f>
        <v>MEDICARE WITHHOLDINGS</v>
      </c>
      <c r="J94" s="2">
        <v>554.16</v>
      </c>
    </row>
    <row r="95" spans="1:10" ht="15">
      <c r="A95" t="s">
        <v>10</v>
      </c>
      <c r="B95" t="s">
        <v>11</v>
      </c>
      <c r="C95">
        <v>0</v>
      </c>
      <c r="D95" s="2">
        <v>31123.02</v>
      </c>
      <c r="E95" s="1">
        <v>42711</v>
      </c>
      <c r="F95" t="s">
        <v>12</v>
      </c>
      <c r="G95" t="s">
        <v>13</v>
      </c>
      <c r="H95" t="str">
        <f>"T1 201611237795"</f>
        <v>T1 201611237795</v>
      </c>
      <c r="I95" t="str">
        <f>"FED WITHHOLDINGS"</f>
        <v>FED WITHHOLDINGS</v>
      </c>
      <c r="J95" s="2">
        <v>65.82</v>
      </c>
    </row>
    <row r="96" spans="7:10" ht="15">
      <c r="G96" t="s">
        <v>13</v>
      </c>
      <c r="H96" t="str">
        <f>"T1 201612057829"</f>
        <v>T1 201612057829</v>
      </c>
      <c r="I96" t="str">
        <f>"FED WITHHOLDINGS"</f>
        <v>FED WITHHOLDINGS</v>
      </c>
      <c r="J96" s="2">
        <v>12904.54</v>
      </c>
    </row>
    <row r="97" spans="7:10" ht="15">
      <c r="G97" t="s">
        <v>13</v>
      </c>
      <c r="H97" t="str">
        <f>"T1 201612077832"</f>
        <v>T1 201612077832</v>
      </c>
      <c r="I97" t="str">
        <f>"FED WITHHOLDINGS"</f>
        <v>FED WITHHOLDINGS</v>
      </c>
      <c r="J97" s="2">
        <v>80.28</v>
      </c>
    </row>
    <row r="98" spans="7:10" ht="15">
      <c r="G98" t="s">
        <v>13</v>
      </c>
      <c r="H98" t="str">
        <f>"T3 201611237795"</f>
        <v>T3 201611237795</v>
      </c>
      <c r="I98" t="str">
        <f>"FICA WITHHOLDINGS"</f>
        <v>FICA WITHHOLDINGS</v>
      </c>
      <c r="J98" s="2">
        <v>99.2</v>
      </c>
    </row>
    <row r="99" spans="7:10" ht="15">
      <c r="G99" t="s">
        <v>13</v>
      </c>
      <c r="H99" t="str">
        <f>"T3 201612057829"</f>
        <v>T3 201612057829</v>
      </c>
      <c r="I99" t="str">
        <f>"FICA WITHHOLDINGS"</f>
        <v>FICA WITHHOLDINGS</v>
      </c>
      <c r="J99" s="2">
        <v>14451.06</v>
      </c>
    </row>
    <row r="100" spans="7:10" ht="15">
      <c r="G100" t="s">
        <v>13</v>
      </c>
      <c r="H100" t="str">
        <f>"T3 201612077832"</f>
        <v>T3 201612077832</v>
      </c>
      <c r="I100" t="str">
        <f>"FICA WITHHOLDINGS"</f>
        <v>FICA WITHHOLDINGS</v>
      </c>
      <c r="J100" s="2">
        <v>96.68</v>
      </c>
    </row>
    <row r="101" spans="7:10" ht="15">
      <c r="G101" t="s">
        <v>13</v>
      </c>
      <c r="H101" t="str">
        <f>"T4 201611237795"</f>
        <v>T4 201611237795</v>
      </c>
      <c r="I101" t="str">
        <f>"MEDICARE WITHHOLDINGS"</f>
        <v>MEDICARE WITHHOLDINGS</v>
      </c>
      <c r="J101" s="2">
        <v>23.2</v>
      </c>
    </row>
    <row r="102" spans="7:10" ht="15">
      <c r="G102" t="s">
        <v>13</v>
      </c>
      <c r="H102" t="str">
        <f>"T4 201612057829"</f>
        <v>T4 201612057829</v>
      </c>
      <c r="I102" t="str">
        <f>"MEDICARE WITHHOLDINGS"</f>
        <v>MEDICARE WITHHOLDINGS</v>
      </c>
      <c r="J102" s="2">
        <v>3379.64</v>
      </c>
    </row>
    <row r="103" spans="7:10" ht="15">
      <c r="G103" t="s">
        <v>13</v>
      </c>
      <c r="H103" t="str">
        <f>"T4 201612077832"</f>
        <v>T4 201612077832</v>
      </c>
      <c r="I103" t="str">
        <f>"MEDICARE WITHHOLDINGS"</f>
        <v>MEDICARE WITHHOLDINGS</v>
      </c>
      <c r="J103" s="2">
        <v>22.6</v>
      </c>
    </row>
    <row r="104" spans="1:10" ht="15">
      <c r="A104" t="s">
        <v>10</v>
      </c>
      <c r="B104" t="s">
        <v>11</v>
      </c>
      <c r="C104">
        <v>0</v>
      </c>
      <c r="D104" s="2">
        <v>30205.22</v>
      </c>
      <c r="E104" s="1">
        <v>42724</v>
      </c>
      <c r="F104" t="s">
        <v>12</v>
      </c>
      <c r="G104" t="s">
        <v>13</v>
      </c>
      <c r="H104" t="str">
        <f>"T1 201612207861"</f>
        <v>T1 201612207861</v>
      </c>
      <c r="I104" t="str">
        <f>"FED WITHHOLDINGS"</f>
        <v>FED WITHHOLDINGS</v>
      </c>
      <c r="J104" s="2">
        <v>12537.44</v>
      </c>
    </row>
    <row r="105" spans="7:10" ht="15">
      <c r="G105" t="s">
        <v>13</v>
      </c>
      <c r="H105" t="str">
        <f>"T3 201612207861"</f>
        <v>T3 201612207861</v>
      </c>
      <c r="I105" t="str">
        <f>"FICA WITHHOLDINGS"</f>
        <v>FICA WITHHOLDINGS</v>
      </c>
      <c r="J105" s="2">
        <v>14318.94</v>
      </c>
    </row>
    <row r="106" spans="7:10" ht="15">
      <c r="G106" t="s">
        <v>13</v>
      </c>
      <c r="H106" t="str">
        <f>"T4 201612207861"</f>
        <v>T4 201612207861</v>
      </c>
      <c r="I106" t="str">
        <f>"MEDICARE WITHHOLDINGS"</f>
        <v>MEDICARE WITHHOLDINGS</v>
      </c>
      <c r="J106" s="2">
        <v>3348.84</v>
      </c>
    </row>
    <row r="107" spans="1:10" ht="15">
      <c r="A107" t="s">
        <v>14</v>
      </c>
      <c r="B107" t="s">
        <v>11</v>
      </c>
      <c r="C107">
        <v>4403</v>
      </c>
      <c r="D107" s="2">
        <v>176.07</v>
      </c>
      <c r="E107" s="1">
        <v>42914</v>
      </c>
      <c r="F107" t="s">
        <v>15</v>
      </c>
      <c r="G107" t="s">
        <v>13</v>
      </c>
      <c r="H107" t="str">
        <f>"22875"</f>
        <v>22875</v>
      </c>
      <c r="I107" t="s">
        <v>311</v>
      </c>
      <c r="J107" s="2">
        <v>176.07</v>
      </c>
    </row>
    <row r="108" spans="1:10" ht="15">
      <c r="A108" t="s">
        <v>14</v>
      </c>
      <c r="B108" t="s">
        <v>11</v>
      </c>
      <c r="C108">
        <v>4403</v>
      </c>
      <c r="D108" s="2">
        <v>176.07</v>
      </c>
      <c r="E108" s="1">
        <v>42914</v>
      </c>
      <c r="F108" t="s">
        <v>15</v>
      </c>
      <c r="G108" t="s">
        <v>16</v>
      </c>
      <c r="H108" t="str">
        <f>"CHECK"</f>
        <v>CHECK</v>
      </c>
      <c r="I108" t="s">
        <v>311</v>
      </c>
      <c r="J108" s="2">
        <v>176.07</v>
      </c>
    </row>
    <row r="109" spans="1:10" ht="15">
      <c r="A109" t="s">
        <v>17</v>
      </c>
      <c r="B109" t="s">
        <v>11</v>
      </c>
      <c r="C109">
        <v>52535</v>
      </c>
      <c r="D109" s="2">
        <v>92</v>
      </c>
      <c r="E109" s="1">
        <v>42654</v>
      </c>
      <c r="F109" t="s">
        <v>18</v>
      </c>
      <c r="G109" t="s">
        <v>13</v>
      </c>
      <c r="H109" t="str">
        <f>"201610117711"</f>
        <v>201610117711</v>
      </c>
      <c r="I109" t="str">
        <f>"TRAINING"</f>
        <v>TRAINING</v>
      </c>
      <c r="J109" s="2">
        <v>92</v>
      </c>
    </row>
    <row r="110" spans="1:10" ht="15">
      <c r="A110" t="s">
        <v>19</v>
      </c>
      <c r="B110" t="s">
        <v>11</v>
      </c>
      <c r="C110">
        <v>52536</v>
      </c>
      <c r="D110" s="2">
        <v>92</v>
      </c>
      <c r="E110" s="1">
        <v>42654</v>
      </c>
      <c r="F110" t="s">
        <v>18</v>
      </c>
      <c r="G110" t="s">
        <v>13</v>
      </c>
      <c r="H110" t="str">
        <f>"201610117709"</f>
        <v>201610117709</v>
      </c>
      <c r="I110" t="s">
        <v>312</v>
      </c>
      <c r="J110" s="2">
        <v>92</v>
      </c>
    </row>
    <row r="111" spans="1:10" ht="15">
      <c r="A111" t="s">
        <v>20</v>
      </c>
      <c r="B111" t="s">
        <v>11</v>
      </c>
      <c r="C111">
        <v>52537</v>
      </c>
      <c r="D111" s="2">
        <v>92</v>
      </c>
      <c r="E111" s="1">
        <v>42654</v>
      </c>
      <c r="F111" t="s">
        <v>18</v>
      </c>
      <c r="G111" t="s">
        <v>13</v>
      </c>
      <c r="H111" t="str">
        <f>"201610117710"</f>
        <v>201610117710</v>
      </c>
      <c r="I111" t="s">
        <v>312</v>
      </c>
      <c r="J111" s="2">
        <v>92</v>
      </c>
    </row>
    <row r="112" spans="1:10" ht="15">
      <c r="A112" t="s">
        <v>21</v>
      </c>
      <c r="B112" t="s">
        <v>11</v>
      </c>
      <c r="C112">
        <v>52538</v>
      </c>
      <c r="D112" s="2">
        <v>2452.32</v>
      </c>
      <c r="E112" s="1">
        <v>42656</v>
      </c>
      <c r="F112" t="s">
        <v>18</v>
      </c>
      <c r="G112" t="s">
        <v>22</v>
      </c>
      <c r="H112" t="str">
        <f>"201610127712"</f>
        <v>201610127712</v>
      </c>
      <c r="I112" t="str">
        <f>"AFLAC"</f>
        <v>AFLAC</v>
      </c>
      <c r="J112" s="2">
        <v>291.56</v>
      </c>
    </row>
    <row r="113" spans="7:10" ht="15">
      <c r="G113" t="s">
        <v>13</v>
      </c>
      <c r="H113" t="str">
        <f>"ACA201609157674"</f>
        <v>ACA201609157674</v>
      </c>
      <c r="I113" t="str">
        <f>"AFLAC INSURANCE"</f>
        <v>AFLAC INSURANCE</v>
      </c>
      <c r="J113" s="2">
        <v>141.8</v>
      </c>
    </row>
    <row r="114" spans="7:10" ht="15">
      <c r="G114" t="s">
        <v>13</v>
      </c>
      <c r="H114" t="str">
        <f>"ACA201609287702"</f>
        <v>ACA201609287702</v>
      </c>
      <c r="I114" t="str">
        <f>"AFLAC INSURANCE"</f>
        <v>AFLAC INSURANCE</v>
      </c>
      <c r="J114" s="2">
        <v>141.8</v>
      </c>
    </row>
    <row r="115" spans="7:10" ht="15">
      <c r="G115" t="s">
        <v>13</v>
      </c>
      <c r="H115" t="str">
        <f>"AD2201609157674"</f>
        <v>AD2201609157674</v>
      </c>
      <c r="I115" t="str">
        <f>"AFLAC INSURANCE"</f>
        <v>AFLAC INSURANCE</v>
      </c>
      <c r="J115" s="2">
        <v>93.78</v>
      </c>
    </row>
    <row r="116" spans="7:10" ht="15">
      <c r="G116" t="s">
        <v>13</v>
      </c>
      <c r="H116" t="str">
        <f>"AD2201609287702"</f>
        <v>AD2201609287702</v>
      </c>
      <c r="I116" t="str">
        <f>"AFLAC INSURANCE"</f>
        <v>AFLAC INSURANCE</v>
      </c>
      <c r="J116" s="2">
        <v>93.78</v>
      </c>
    </row>
    <row r="117" spans="7:10" ht="15">
      <c r="G117" t="s">
        <v>13</v>
      </c>
      <c r="H117" t="str">
        <f>"ADR201609157674"</f>
        <v>ADR201609157674</v>
      </c>
      <c r="I117" t="str">
        <f>"INSURANCE"</f>
        <v>INSURANCE</v>
      </c>
      <c r="J117" s="2">
        <v>14.46</v>
      </c>
    </row>
    <row r="118" spans="7:10" ht="15">
      <c r="G118" t="s">
        <v>13</v>
      </c>
      <c r="H118" t="str">
        <f>"ADR201609287702"</f>
        <v>ADR201609287702</v>
      </c>
      <c r="I118" t="str">
        <f>"INSURANCE"</f>
        <v>INSURANCE</v>
      </c>
      <c r="J118" s="2">
        <v>14.46</v>
      </c>
    </row>
    <row r="119" spans="7:10" ht="15">
      <c r="G119" t="s">
        <v>13</v>
      </c>
      <c r="H119" t="str">
        <f>"AF1201609157674"</f>
        <v>AF1201609157674</v>
      </c>
      <c r="I119" t="str">
        <f aca="true" t="shared" si="0" ref="I119:I124">"AFLAC INSURANCE"</f>
        <v>AFLAC INSURANCE</v>
      </c>
      <c r="J119" s="2">
        <v>585.6</v>
      </c>
    </row>
    <row r="120" spans="7:10" ht="15">
      <c r="G120" t="s">
        <v>13</v>
      </c>
      <c r="H120" t="str">
        <f>"AF1201609287702"</f>
        <v>AF1201609287702</v>
      </c>
      <c r="I120" t="str">
        <f t="shared" si="0"/>
        <v>AFLAC INSURANCE</v>
      </c>
      <c r="J120" s="2">
        <v>585.6</v>
      </c>
    </row>
    <row r="121" spans="7:10" ht="15">
      <c r="G121" t="s">
        <v>13</v>
      </c>
      <c r="H121" t="str">
        <f>"ASP201609157674"</f>
        <v>ASP201609157674</v>
      </c>
      <c r="I121" t="str">
        <f t="shared" si="0"/>
        <v>AFLAC INSURANCE</v>
      </c>
      <c r="J121" s="2">
        <v>71.86</v>
      </c>
    </row>
    <row r="122" spans="7:10" ht="15">
      <c r="G122" t="s">
        <v>13</v>
      </c>
      <c r="H122" t="str">
        <f>"ASP201609287702"</f>
        <v>ASP201609287702</v>
      </c>
      <c r="I122" t="str">
        <f t="shared" si="0"/>
        <v>AFLAC INSURANCE</v>
      </c>
      <c r="J122" s="2">
        <v>71.86</v>
      </c>
    </row>
    <row r="123" spans="7:10" ht="15">
      <c r="G123" t="s">
        <v>13</v>
      </c>
      <c r="H123" t="str">
        <f>"HCO201609157674"</f>
        <v>HCO201609157674</v>
      </c>
      <c r="I123" t="str">
        <f t="shared" si="0"/>
        <v>AFLAC INSURANCE</v>
      </c>
      <c r="J123" s="2">
        <v>76.14</v>
      </c>
    </row>
    <row r="124" spans="7:10" ht="15">
      <c r="G124" t="s">
        <v>13</v>
      </c>
      <c r="H124" t="str">
        <f>"HCO201609287702"</f>
        <v>HCO201609287702</v>
      </c>
      <c r="I124" t="str">
        <f t="shared" si="0"/>
        <v>AFLAC INSURANCE</v>
      </c>
      <c r="J124" s="2">
        <v>76.14</v>
      </c>
    </row>
    <row r="125" spans="7:10" ht="15">
      <c r="G125" t="s">
        <v>13</v>
      </c>
      <c r="H125" t="str">
        <f>"STD201609157674"</f>
        <v>STD201609157674</v>
      </c>
      <c r="I125" t="str">
        <f>"INSURANCE"</f>
        <v>INSURANCE</v>
      </c>
      <c r="J125" s="2">
        <v>96.74</v>
      </c>
    </row>
    <row r="126" spans="7:10" ht="15">
      <c r="G126" t="s">
        <v>13</v>
      </c>
      <c r="H126" t="str">
        <f>"STD201609287702"</f>
        <v>STD201609287702</v>
      </c>
      <c r="I126" t="str">
        <f>"INSURANCE"</f>
        <v>INSURANCE</v>
      </c>
      <c r="J126" s="2">
        <v>96.74</v>
      </c>
    </row>
    <row r="127" spans="1:10" ht="15">
      <c r="A127" t="s">
        <v>23</v>
      </c>
      <c r="B127" t="s">
        <v>11</v>
      </c>
      <c r="C127">
        <v>52541</v>
      </c>
      <c r="D127" s="2">
        <v>52111.1</v>
      </c>
      <c r="E127" s="1">
        <v>42656</v>
      </c>
      <c r="F127" t="s">
        <v>18</v>
      </c>
      <c r="G127" t="s">
        <v>22</v>
      </c>
      <c r="H127" t="str">
        <f>"201610127713"</f>
        <v>201610127713</v>
      </c>
      <c r="I127" t="str">
        <f>"TEXAS MUNICIPAL RETIREMENT SYS"</f>
        <v>TEXAS MUNICIPAL RETIREMENT SYS</v>
      </c>
      <c r="J127" s="2">
        <v>17310.8</v>
      </c>
    </row>
    <row r="128" spans="7:10" ht="15">
      <c r="G128" t="s">
        <v>13</v>
      </c>
      <c r="H128" t="str">
        <f>"RET201609157674"</f>
        <v>RET201609157674</v>
      </c>
      <c r="I128" t="str">
        <f>"TMRS CITY OF FLORESVILLE"</f>
        <v>TMRS CITY OF FLORESVILLE</v>
      </c>
      <c r="J128" s="2">
        <v>16661.23</v>
      </c>
    </row>
    <row r="129" spans="7:10" ht="15">
      <c r="G129" t="s">
        <v>13</v>
      </c>
      <c r="H129" t="str">
        <f>"RET201609287702"</f>
        <v>RET201609287702</v>
      </c>
      <c r="I129" t="str">
        <f>"TMRS CITY OF FLORESVILLE"</f>
        <v>TMRS CITY OF FLORESVILLE</v>
      </c>
      <c r="J129" s="2">
        <v>17159.65</v>
      </c>
    </row>
    <row r="130" spans="7:10" ht="15">
      <c r="G130" t="s">
        <v>13</v>
      </c>
      <c r="H130" t="str">
        <f>"RET201609287703"</f>
        <v>RET201609287703</v>
      </c>
      <c r="I130" t="str">
        <f>"TMRS CITY OF FLORESVILLE"</f>
        <v>TMRS CITY OF FLORESVILLE</v>
      </c>
      <c r="J130" s="2">
        <v>979.42</v>
      </c>
    </row>
    <row r="131" spans="1:10" ht="15">
      <c r="A131" t="s">
        <v>24</v>
      </c>
      <c r="B131" t="s">
        <v>11</v>
      </c>
      <c r="C131">
        <v>52545</v>
      </c>
      <c r="D131" s="2">
        <v>2331.33</v>
      </c>
      <c r="E131" s="1">
        <v>42656</v>
      </c>
      <c r="F131" t="s">
        <v>18</v>
      </c>
      <c r="G131" t="s">
        <v>22</v>
      </c>
      <c r="H131" t="str">
        <f>"201610127714"</f>
        <v>201610127714</v>
      </c>
      <c r="I131" t="str">
        <f>"DENTAL SELECT"</f>
        <v>DENTAL SELECT</v>
      </c>
      <c r="J131" s="2">
        <v>168.13</v>
      </c>
    </row>
    <row r="132" spans="7:10" ht="15">
      <c r="G132" t="s">
        <v>13</v>
      </c>
      <c r="H132" t="str">
        <f>"DEN201609157674"</f>
        <v>DEN201609157674</v>
      </c>
      <c r="I132" t="str">
        <f>"DENTAL INSURANCE"</f>
        <v>DENTAL INSURANCE</v>
      </c>
      <c r="J132" s="2">
        <v>854.84</v>
      </c>
    </row>
    <row r="133" spans="7:10" ht="15">
      <c r="G133" t="s">
        <v>13</v>
      </c>
      <c r="H133" t="str">
        <f>"DEN201609287702"</f>
        <v>DEN201609287702</v>
      </c>
      <c r="I133" t="str">
        <f>"DENTAL INSURANCE"</f>
        <v>DENTAL INSURANCE</v>
      </c>
      <c r="J133" s="2">
        <v>854.84</v>
      </c>
    </row>
    <row r="134" spans="7:10" ht="15">
      <c r="G134" t="s">
        <v>13</v>
      </c>
      <c r="H134" t="str">
        <f>"VIS201609157674"</f>
        <v>VIS201609157674</v>
      </c>
      <c r="I134" t="str">
        <f>"DENTAL INSURANCE"</f>
        <v>DENTAL INSURANCE</v>
      </c>
      <c r="J134" s="2">
        <v>226.76</v>
      </c>
    </row>
    <row r="135" spans="7:10" ht="15">
      <c r="G135" t="s">
        <v>13</v>
      </c>
      <c r="H135" t="str">
        <f>"VIS201609287702"</f>
        <v>VIS201609287702</v>
      </c>
      <c r="I135" t="str">
        <f>"DENTAL INSURANCE"</f>
        <v>DENTAL INSURANCE</v>
      </c>
      <c r="J135" s="2">
        <v>226.76</v>
      </c>
    </row>
    <row r="136" spans="1:10" ht="15">
      <c r="A136" t="s">
        <v>25</v>
      </c>
      <c r="B136" t="s">
        <v>11</v>
      </c>
      <c r="C136">
        <v>52546</v>
      </c>
      <c r="D136" s="2">
        <v>133.02</v>
      </c>
      <c r="E136" s="1">
        <v>42656</v>
      </c>
      <c r="F136" t="s">
        <v>18</v>
      </c>
      <c r="G136" t="s">
        <v>13</v>
      </c>
      <c r="H136" t="str">
        <f>"LEA201609157674"</f>
        <v>LEA201609157674</v>
      </c>
      <c r="I136" t="str">
        <f>"INSURANCE"</f>
        <v>INSURANCE</v>
      </c>
      <c r="J136" s="2">
        <v>66.51</v>
      </c>
    </row>
    <row r="137" spans="7:10" ht="15">
      <c r="G137" t="s">
        <v>13</v>
      </c>
      <c r="H137" t="str">
        <f>"LEA201609287702"</f>
        <v>LEA201609287702</v>
      </c>
      <c r="I137" t="str">
        <f>"INSURANCE"</f>
        <v>INSURANCE</v>
      </c>
      <c r="J137" s="2">
        <v>66.51</v>
      </c>
    </row>
    <row r="138" spans="1:10" ht="15">
      <c r="A138" t="s">
        <v>26</v>
      </c>
      <c r="B138" t="s">
        <v>11</v>
      </c>
      <c r="C138">
        <v>52547</v>
      </c>
      <c r="D138" s="2">
        <v>83.7</v>
      </c>
      <c r="E138" s="1">
        <v>42656</v>
      </c>
      <c r="F138" t="s">
        <v>18</v>
      </c>
      <c r="G138" t="s">
        <v>22</v>
      </c>
      <c r="H138" t="str">
        <f>"201610127717"</f>
        <v>201610127717</v>
      </c>
      <c r="I138" t="str">
        <f>"LEGALSHIELD"</f>
        <v>LEGALSHIELD</v>
      </c>
      <c r="J138" s="2">
        <v>51.78</v>
      </c>
    </row>
    <row r="139" spans="7:10" ht="15">
      <c r="G139" t="s">
        <v>13</v>
      </c>
      <c r="H139" t="str">
        <f>"PPL201609157674"</f>
        <v>PPL201609157674</v>
      </c>
      <c r="I139" t="str">
        <f>"INSURANCE"</f>
        <v>INSURANCE</v>
      </c>
      <c r="J139" s="2">
        <v>15.96</v>
      </c>
    </row>
    <row r="140" spans="7:10" ht="15">
      <c r="G140" t="s">
        <v>13</v>
      </c>
      <c r="H140" t="str">
        <f>"PPL201609287702"</f>
        <v>PPL201609287702</v>
      </c>
      <c r="I140" t="str">
        <f>"INSURANCE"</f>
        <v>INSURANCE</v>
      </c>
      <c r="J140" s="2">
        <v>15.96</v>
      </c>
    </row>
    <row r="141" spans="1:10" ht="15">
      <c r="A141" t="s">
        <v>27</v>
      </c>
      <c r="B141" t="s">
        <v>11</v>
      </c>
      <c r="C141">
        <v>52548</v>
      </c>
      <c r="D141" s="2">
        <v>31333.01</v>
      </c>
      <c r="E141" s="1">
        <v>42656</v>
      </c>
      <c r="F141" t="s">
        <v>18</v>
      </c>
      <c r="G141" t="s">
        <v>22</v>
      </c>
      <c r="H141" t="str">
        <f>"201610127716"</f>
        <v>201610127716</v>
      </c>
      <c r="I141" t="str">
        <f>"HEALTH CARE SERVICE CORPORATIO"</f>
        <v>HEALTH CARE SERVICE CORPORATIO</v>
      </c>
      <c r="J141" s="2">
        <v>1996.71</v>
      </c>
    </row>
    <row r="142" spans="7:10" ht="15">
      <c r="G142" t="s">
        <v>13</v>
      </c>
      <c r="H142" t="str">
        <f>"BME201609157674"</f>
        <v>BME201609157674</v>
      </c>
      <c r="I142" t="str">
        <f>"INSURANCE"</f>
        <v>INSURANCE</v>
      </c>
      <c r="J142" s="2">
        <v>6455.58</v>
      </c>
    </row>
    <row r="143" spans="7:10" ht="15">
      <c r="G143" t="s">
        <v>13</v>
      </c>
      <c r="H143" t="str">
        <f>"BME201609287702"</f>
        <v>BME201609287702</v>
      </c>
      <c r="I143" t="str">
        <f>"INSURANCE"</f>
        <v>INSURANCE</v>
      </c>
      <c r="J143" s="2">
        <v>6455.58</v>
      </c>
    </row>
    <row r="144" spans="7:10" ht="15">
      <c r="G144" t="s">
        <v>13</v>
      </c>
      <c r="H144" t="str">
        <f>"MED201609157674"</f>
        <v>MED201609157674</v>
      </c>
      <c r="I144" t="str">
        <f>"INSURANCE"</f>
        <v>INSURANCE</v>
      </c>
      <c r="J144" s="2">
        <v>7498.31</v>
      </c>
    </row>
    <row r="145" spans="7:10" ht="15">
      <c r="G145" t="s">
        <v>13</v>
      </c>
      <c r="H145" t="str">
        <f>"MED201609287702"</f>
        <v>MED201609287702</v>
      </c>
      <c r="I145" t="str">
        <f>"INSURANCE"</f>
        <v>INSURANCE</v>
      </c>
      <c r="J145" s="2">
        <v>7498.31</v>
      </c>
    </row>
    <row r="146" spans="7:10" ht="15">
      <c r="G146" t="s">
        <v>13</v>
      </c>
      <c r="H146" t="str">
        <f>"VLC201609157674"</f>
        <v>VLC201609157674</v>
      </c>
      <c r="I146" t="str">
        <f>"CHILD LIFE INSURANCE"</f>
        <v>CHILD LIFE INSURANCE</v>
      </c>
      <c r="J146" s="2">
        <v>57.22</v>
      </c>
    </row>
    <row r="147" spans="7:10" ht="15">
      <c r="G147" t="s">
        <v>13</v>
      </c>
      <c r="H147" t="str">
        <f>"VLC201609287702"</f>
        <v>VLC201609287702</v>
      </c>
      <c r="I147" t="str">
        <f>"CHILD LIFE INSURANCE"</f>
        <v>CHILD LIFE INSURANCE</v>
      </c>
      <c r="J147" s="2">
        <v>57.22</v>
      </c>
    </row>
    <row r="148" spans="7:10" ht="15">
      <c r="G148" t="s">
        <v>13</v>
      </c>
      <c r="H148" t="str">
        <f>"VLS201609157674"</f>
        <v>VLS201609157674</v>
      </c>
      <c r="I148" t="str">
        <f>"SPOUSE LIFE"</f>
        <v>SPOUSE LIFE</v>
      </c>
      <c r="J148" s="2">
        <v>134.43</v>
      </c>
    </row>
    <row r="149" spans="7:10" ht="15">
      <c r="G149" t="s">
        <v>13</v>
      </c>
      <c r="H149" t="str">
        <f>"VLS201609287702"</f>
        <v>VLS201609287702</v>
      </c>
      <c r="I149" t="str">
        <f>"SPOUSE LIFE"</f>
        <v>SPOUSE LIFE</v>
      </c>
      <c r="J149" s="2">
        <v>134.43</v>
      </c>
    </row>
    <row r="150" spans="7:10" ht="15">
      <c r="G150" t="s">
        <v>13</v>
      </c>
      <c r="H150" t="str">
        <f>"VOE201609157674"</f>
        <v>VOE201609157674</v>
      </c>
      <c r="I150" t="str">
        <f>"EMPLOYEE LIFE"</f>
        <v>EMPLOYEE LIFE</v>
      </c>
      <c r="J150" s="2">
        <v>39.04</v>
      </c>
    </row>
    <row r="151" spans="7:10" ht="15">
      <c r="G151" t="s">
        <v>13</v>
      </c>
      <c r="H151" t="str">
        <f>"VOE201609287702"</f>
        <v>VOE201609287702</v>
      </c>
      <c r="I151" t="str">
        <f>"EMPLOYEE LIFE"</f>
        <v>EMPLOYEE LIFE</v>
      </c>
      <c r="J151" s="2">
        <v>39.04</v>
      </c>
    </row>
    <row r="152" spans="7:10" ht="15">
      <c r="G152" t="s">
        <v>13</v>
      </c>
      <c r="H152" t="str">
        <f>"VOL201609157674"</f>
        <v>VOL201609157674</v>
      </c>
      <c r="I152" t="str">
        <f>"LIFE"</f>
        <v>LIFE</v>
      </c>
      <c r="J152" s="2">
        <v>483.57</v>
      </c>
    </row>
    <row r="153" spans="7:10" ht="15">
      <c r="G153" t="s">
        <v>13</v>
      </c>
      <c r="H153" t="str">
        <f>"VOL201609287702"</f>
        <v>VOL201609287702</v>
      </c>
      <c r="I153" t="str">
        <f>"LIFE"</f>
        <v>LIFE</v>
      </c>
      <c r="J153" s="2">
        <v>483.57</v>
      </c>
    </row>
    <row r="154" spans="1:10" ht="15">
      <c r="A154" t="s">
        <v>28</v>
      </c>
      <c r="B154" t="s">
        <v>11</v>
      </c>
      <c r="C154">
        <v>52554</v>
      </c>
      <c r="D154" s="2">
        <v>1444.45</v>
      </c>
      <c r="E154" s="1">
        <v>42656</v>
      </c>
      <c r="F154" t="s">
        <v>18</v>
      </c>
      <c r="G154" t="s">
        <v>22</v>
      </c>
      <c r="H154" t="str">
        <f>"201610127715"</f>
        <v>201610127715</v>
      </c>
      <c r="I154" t="str">
        <f>"DEARBORN NATIONAL"</f>
        <v>DEARBORN NATIONAL</v>
      </c>
      <c r="J154" s="2">
        <v>1424.77</v>
      </c>
    </row>
    <row r="155" spans="7:10" ht="15">
      <c r="G155" t="s">
        <v>13</v>
      </c>
      <c r="H155" t="str">
        <f>"ADD201609157674"</f>
        <v>ADD201609157674</v>
      </c>
      <c r="I155" t="str">
        <f>"AD&amp;D"</f>
        <v>AD&amp;D</v>
      </c>
      <c r="J155" s="2">
        <v>1.02</v>
      </c>
    </row>
    <row r="156" spans="7:10" ht="15">
      <c r="G156" t="s">
        <v>13</v>
      </c>
      <c r="H156" t="str">
        <f>"ADD201609287702"</f>
        <v>ADD201609287702</v>
      </c>
      <c r="I156" t="str">
        <f>"AD&amp;D"</f>
        <v>AD&amp;D</v>
      </c>
      <c r="J156" s="2">
        <v>1.02</v>
      </c>
    </row>
    <row r="157" spans="7:10" ht="15">
      <c r="G157" t="s">
        <v>13</v>
      </c>
      <c r="H157" t="str">
        <f>"LIF201609157674"</f>
        <v>LIF201609157674</v>
      </c>
      <c r="I157" t="str">
        <f>"INSURANCE"</f>
        <v>INSURANCE</v>
      </c>
      <c r="J157" s="2">
        <v>8.82</v>
      </c>
    </row>
    <row r="158" spans="7:10" ht="15">
      <c r="G158" t="s">
        <v>13</v>
      </c>
      <c r="H158" t="str">
        <f>"LIF201609287702"</f>
        <v>LIF201609287702</v>
      </c>
      <c r="I158" t="str">
        <f>"INSURANCE"</f>
        <v>INSURANCE</v>
      </c>
      <c r="J158" s="2">
        <v>8.82</v>
      </c>
    </row>
    <row r="159" spans="1:10" ht="15">
      <c r="A159" t="s">
        <v>29</v>
      </c>
      <c r="B159" t="s">
        <v>11</v>
      </c>
      <c r="C159">
        <v>52566</v>
      </c>
      <c r="D159" s="2">
        <v>290.9</v>
      </c>
      <c r="E159" s="1">
        <v>42656</v>
      </c>
      <c r="F159" t="s">
        <v>18</v>
      </c>
      <c r="G159" t="s">
        <v>13</v>
      </c>
      <c r="H159" t="str">
        <f>"CLE201610137718"</f>
        <v>CLE201610137718</v>
      </c>
      <c r="I159" t="str">
        <f>"CLEAT ONLY DUES"</f>
        <v>CLEAT ONLY DUES</v>
      </c>
      <c r="J159" s="2">
        <v>13.85</v>
      </c>
    </row>
    <row r="160" spans="7:10" ht="15">
      <c r="G160" t="s">
        <v>13</v>
      </c>
      <c r="H160" t="str">
        <f>"PDD201610137718"</f>
        <v>PDD201610137718</v>
      </c>
      <c r="I160" t="str">
        <f>"POLICE OFFICERS ASSOC DUES"</f>
        <v>POLICE OFFICERS ASSOC DUES</v>
      </c>
      <c r="J160" s="2">
        <v>277.05</v>
      </c>
    </row>
    <row r="161" spans="1:10" ht="15">
      <c r="A161" t="s">
        <v>30</v>
      </c>
      <c r="B161" t="s">
        <v>11</v>
      </c>
      <c r="C161">
        <v>52567</v>
      </c>
      <c r="D161" s="2">
        <v>1258.62</v>
      </c>
      <c r="E161" s="1">
        <v>42656</v>
      </c>
      <c r="F161" t="s">
        <v>18</v>
      </c>
      <c r="G161" t="s">
        <v>13</v>
      </c>
      <c r="H161" t="str">
        <f>"CPS201610137718"</f>
        <v>CPS201610137718</v>
      </c>
      <c r="I161" t="str">
        <f>"G MENDOZA 00123012032010EM5054"</f>
        <v>G MENDOZA 00123012032010EM5054</v>
      </c>
      <c r="J161" s="2">
        <v>11.54</v>
      </c>
    </row>
    <row r="162" spans="7:10" ht="15">
      <c r="G162" t="s">
        <v>13</v>
      </c>
      <c r="H162" t="str">
        <f>"CS 201610137718"</f>
        <v>CS 201610137718</v>
      </c>
      <c r="I162" t="str">
        <f>"CAUSE#98EM504113 PEGGY RIVAS"</f>
        <v>CAUSE#98EM504113 PEGGY RIVAS</v>
      </c>
      <c r="J162" s="2">
        <v>352.62</v>
      </c>
    </row>
    <row r="163" spans="7:10" ht="15">
      <c r="G163" t="s">
        <v>13</v>
      </c>
      <c r="H163" t="str">
        <f>"CS1201610137718"</f>
        <v>CS1201610137718</v>
      </c>
      <c r="I163" t="str">
        <f>"CAUSE# 10008CVW DEBRA ESQUEDA"</f>
        <v>CAUSE# 10008CVW DEBRA ESQUEDA</v>
      </c>
      <c r="J163" s="2">
        <v>234.46</v>
      </c>
    </row>
    <row r="164" spans="7:10" ht="15">
      <c r="G164" t="s">
        <v>13</v>
      </c>
      <c r="H164" t="str">
        <f>"CSJ201610137718"</f>
        <v>CSJ201610137718</v>
      </c>
      <c r="I164" t="str">
        <f>"CAUSE# 0010185272 MARIANN GUTI"</f>
        <v>CAUSE# 0010185272 MARIANN GUTI</v>
      </c>
      <c r="J164" s="2">
        <v>325.38</v>
      </c>
    </row>
    <row r="165" spans="7:10" ht="15">
      <c r="G165" t="s">
        <v>13</v>
      </c>
      <c r="H165" t="str">
        <f>"CST201610137718"</f>
        <v>CST201610137718</v>
      </c>
      <c r="I165" t="str">
        <f>"CAUSE #0009418917 SONIA PEREZ"</f>
        <v>CAUSE #0009418917 SONIA PEREZ</v>
      </c>
      <c r="J165" s="2">
        <v>334.62</v>
      </c>
    </row>
    <row r="166" spans="1:10" ht="15">
      <c r="A166" t="s">
        <v>31</v>
      </c>
      <c r="B166" t="s">
        <v>11</v>
      </c>
      <c r="C166">
        <v>52568</v>
      </c>
      <c r="D166" s="2">
        <v>147.7</v>
      </c>
      <c r="E166" s="1">
        <v>42656</v>
      </c>
      <c r="F166" t="s">
        <v>18</v>
      </c>
      <c r="G166" t="s">
        <v>13</v>
      </c>
      <c r="H166" t="str">
        <f>"BNK201610137718"</f>
        <v>BNK201610137718</v>
      </c>
      <c r="I166" t="str">
        <f>"CHAPTER 13  CASE NO. 1152669"</f>
        <v>CHAPTER 13  CASE NO. 1152669</v>
      </c>
      <c r="J166" s="2">
        <v>147.7</v>
      </c>
    </row>
    <row r="167" spans="1:10" ht="15">
      <c r="A167" t="s">
        <v>32</v>
      </c>
      <c r="B167" t="s">
        <v>11</v>
      </c>
      <c r="C167">
        <v>52569</v>
      </c>
      <c r="D167" s="2">
        <v>99.1</v>
      </c>
      <c r="E167" s="1">
        <v>42656</v>
      </c>
      <c r="F167" t="s">
        <v>18</v>
      </c>
      <c r="G167" t="s">
        <v>13</v>
      </c>
      <c r="H167" t="str">
        <f>"MCO201610137718"</f>
        <v>MCO201610137718</v>
      </c>
      <c r="I167" t="s">
        <v>313</v>
      </c>
      <c r="J167" s="2">
        <v>99.1</v>
      </c>
    </row>
    <row r="168" spans="1:10" ht="15">
      <c r="A168" t="s">
        <v>33</v>
      </c>
      <c r="B168" t="s">
        <v>11</v>
      </c>
      <c r="C168">
        <v>52570</v>
      </c>
      <c r="D168" s="2">
        <v>704.6</v>
      </c>
      <c r="E168" s="1">
        <v>42656</v>
      </c>
      <c r="F168" t="s">
        <v>18</v>
      </c>
      <c r="G168" t="s">
        <v>13</v>
      </c>
      <c r="H168" t="str">
        <f>"457201610137718"</f>
        <v>457201610137718</v>
      </c>
      <c r="I168" t="str">
        <f>"CASE # 180-60751 457B DEDUCT"</f>
        <v>CASE # 180-60751 457B DEDUCT</v>
      </c>
      <c r="J168" s="2">
        <v>704.6</v>
      </c>
    </row>
    <row r="169" spans="1:10" ht="15">
      <c r="A169" t="s">
        <v>34</v>
      </c>
      <c r="B169" t="s">
        <v>11</v>
      </c>
      <c r="C169">
        <v>52571</v>
      </c>
      <c r="D169" s="2">
        <v>217.5</v>
      </c>
      <c r="E169" s="1">
        <v>42656</v>
      </c>
      <c r="F169" t="s">
        <v>18</v>
      </c>
      <c r="G169" t="s">
        <v>13</v>
      </c>
      <c r="H169" t="str">
        <f>"154373"</f>
        <v>154373</v>
      </c>
      <c r="I169" t="str">
        <f aca="true" t="shared" si="1" ref="I169:I182">"GERALD LUBIANSKI ENTERPRISES"</f>
        <v>GERALD LUBIANSKI ENTERPRISES</v>
      </c>
      <c r="J169" s="2">
        <v>87.5</v>
      </c>
    </row>
    <row r="170" spans="7:10" ht="15">
      <c r="G170" t="s">
        <v>13</v>
      </c>
      <c r="H170" t="str">
        <f>"154861"</f>
        <v>154861</v>
      </c>
      <c r="I170" t="str">
        <f t="shared" si="1"/>
        <v>GERALD LUBIANSKI ENTERPRISES</v>
      </c>
      <c r="J170" s="2">
        <v>10</v>
      </c>
    </row>
    <row r="171" spans="7:10" ht="15">
      <c r="G171" t="s">
        <v>13</v>
      </c>
      <c r="H171" t="str">
        <f>"154867"</f>
        <v>154867</v>
      </c>
      <c r="I171" t="str">
        <f t="shared" si="1"/>
        <v>GERALD LUBIANSKI ENTERPRISES</v>
      </c>
      <c r="J171" s="2">
        <v>10</v>
      </c>
    </row>
    <row r="172" spans="7:10" ht="15">
      <c r="G172" t="s">
        <v>13</v>
      </c>
      <c r="H172" t="str">
        <f>"154869"</f>
        <v>154869</v>
      </c>
      <c r="I172" t="str">
        <f t="shared" si="1"/>
        <v>GERALD LUBIANSKI ENTERPRISES</v>
      </c>
      <c r="J172" s="2">
        <v>10</v>
      </c>
    </row>
    <row r="173" spans="7:10" ht="15">
      <c r="G173" t="s">
        <v>13</v>
      </c>
      <c r="H173" t="str">
        <f>"154894"</f>
        <v>154894</v>
      </c>
      <c r="I173" t="str">
        <f t="shared" si="1"/>
        <v>GERALD LUBIANSKI ENTERPRISES</v>
      </c>
      <c r="J173" s="2">
        <v>10</v>
      </c>
    </row>
    <row r="174" spans="7:10" ht="15">
      <c r="G174" t="s">
        <v>13</v>
      </c>
      <c r="H174" t="str">
        <f>"154914"</f>
        <v>154914</v>
      </c>
      <c r="I174" t="str">
        <f t="shared" si="1"/>
        <v>GERALD LUBIANSKI ENTERPRISES</v>
      </c>
      <c r="J174" s="2">
        <v>10</v>
      </c>
    </row>
    <row r="175" spans="7:10" ht="15">
      <c r="G175" t="s">
        <v>13</v>
      </c>
      <c r="H175" t="str">
        <f>"154951"</f>
        <v>154951</v>
      </c>
      <c r="I175" t="str">
        <f t="shared" si="1"/>
        <v>GERALD LUBIANSKI ENTERPRISES</v>
      </c>
      <c r="J175" s="2">
        <v>10</v>
      </c>
    </row>
    <row r="176" spans="7:10" ht="15">
      <c r="G176" t="s">
        <v>13</v>
      </c>
      <c r="H176" t="str">
        <f>"154996"</f>
        <v>154996</v>
      </c>
      <c r="I176" t="str">
        <f t="shared" si="1"/>
        <v>GERALD LUBIANSKI ENTERPRISES</v>
      </c>
      <c r="J176" s="2">
        <v>10</v>
      </c>
    </row>
    <row r="177" spans="7:10" ht="15">
      <c r="G177" t="s">
        <v>13</v>
      </c>
      <c r="H177" t="str">
        <f>"155026"</f>
        <v>155026</v>
      </c>
      <c r="I177" t="str">
        <f t="shared" si="1"/>
        <v>GERALD LUBIANSKI ENTERPRISES</v>
      </c>
      <c r="J177" s="2">
        <v>10</v>
      </c>
    </row>
    <row r="178" spans="7:10" ht="15">
      <c r="G178" t="s">
        <v>13</v>
      </c>
      <c r="H178" t="str">
        <f>"155027"</f>
        <v>155027</v>
      </c>
      <c r="I178" t="str">
        <f t="shared" si="1"/>
        <v>GERALD LUBIANSKI ENTERPRISES</v>
      </c>
      <c r="J178" s="2">
        <v>10</v>
      </c>
    </row>
    <row r="179" spans="7:10" ht="15">
      <c r="G179" t="s">
        <v>13</v>
      </c>
      <c r="H179" t="str">
        <f>"155055"</f>
        <v>155055</v>
      </c>
      <c r="I179" t="str">
        <f t="shared" si="1"/>
        <v>GERALD LUBIANSKI ENTERPRISES</v>
      </c>
      <c r="J179" s="2">
        <v>10</v>
      </c>
    </row>
    <row r="180" spans="7:10" ht="15">
      <c r="G180" t="s">
        <v>13</v>
      </c>
      <c r="H180" t="str">
        <f>"155078"</f>
        <v>155078</v>
      </c>
      <c r="I180" t="str">
        <f t="shared" si="1"/>
        <v>GERALD LUBIANSKI ENTERPRISES</v>
      </c>
      <c r="J180" s="2">
        <v>10</v>
      </c>
    </row>
    <row r="181" spans="7:10" ht="15">
      <c r="G181" t="s">
        <v>13</v>
      </c>
      <c r="H181" t="str">
        <f>"155112"</f>
        <v>155112</v>
      </c>
      <c r="I181" t="str">
        <f t="shared" si="1"/>
        <v>GERALD LUBIANSKI ENTERPRISES</v>
      </c>
      <c r="J181" s="2">
        <v>10</v>
      </c>
    </row>
    <row r="182" spans="7:10" ht="15">
      <c r="G182" t="s">
        <v>13</v>
      </c>
      <c r="H182" t="str">
        <f>"155118"</f>
        <v>155118</v>
      </c>
      <c r="I182" t="str">
        <f t="shared" si="1"/>
        <v>GERALD LUBIANSKI ENTERPRISES</v>
      </c>
      <c r="J182" s="2">
        <v>10</v>
      </c>
    </row>
    <row r="183" spans="1:10" ht="15">
      <c r="A183" t="s">
        <v>35</v>
      </c>
      <c r="B183" t="s">
        <v>11</v>
      </c>
      <c r="C183">
        <v>52574</v>
      </c>
      <c r="D183" s="2">
        <v>24735.55</v>
      </c>
      <c r="E183" s="1">
        <v>42656</v>
      </c>
      <c r="F183" t="s">
        <v>18</v>
      </c>
      <c r="G183" t="s">
        <v>13</v>
      </c>
      <c r="H183" t="str">
        <f>"9/16/16"</f>
        <v>9/16/16</v>
      </c>
      <c r="I183" t="str">
        <f>"F.E.L.P.S."</f>
        <v>F.E.L.P.S.</v>
      </c>
      <c r="J183" s="2">
        <v>24735.55</v>
      </c>
    </row>
    <row r="184" spans="1:10" ht="15">
      <c r="A184" t="s">
        <v>36</v>
      </c>
      <c r="B184" t="s">
        <v>11</v>
      </c>
      <c r="C184">
        <v>52575</v>
      </c>
      <c r="D184" s="2">
        <v>503.3</v>
      </c>
      <c r="E184" s="1">
        <v>42656</v>
      </c>
      <c r="F184" t="s">
        <v>18</v>
      </c>
      <c r="G184" t="s">
        <v>13</v>
      </c>
      <c r="H184" t="str">
        <f>"9/2016"</f>
        <v>9/2016</v>
      </c>
      <c r="I184" t="str">
        <f>"WILSON COUNTY HARDWARE"</f>
        <v>WILSON COUNTY HARDWARE</v>
      </c>
      <c r="J184" s="2">
        <v>503.3</v>
      </c>
    </row>
    <row r="185" spans="1:10" ht="15">
      <c r="A185" t="s">
        <v>37</v>
      </c>
      <c r="B185" t="s">
        <v>11</v>
      </c>
      <c r="C185">
        <v>52576</v>
      </c>
      <c r="D185" s="2">
        <v>334.44</v>
      </c>
      <c r="E185" s="1">
        <v>42656</v>
      </c>
      <c r="F185" t="s">
        <v>18</v>
      </c>
      <c r="G185" t="s">
        <v>13</v>
      </c>
      <c r="H185" t="str">
        <f>"473973"</f>
        <v>473973</v>
      </c>
      <c r="I185" t="str">
        <f>"DEASON ANIMAL HOSPITAL"</f>
        <v>DEASON ANIMAL HOSPITAL</v>
      </c>
      <c r="J185" s="2">
        <v>75</v>
      </c>
    </row>
    <row r="186" spans="7:10" ht="15">
      <c r="G186" t="s">
        <v>13</v>
      </c>
      <c r="H186" t="str">
        <f>"474394"</f>
        <v>474394</v>
      </c>
      <c r="I186" t="str">
        <f>"DEASON ANIMAL HOSPITAL"</f>
        <v>DEASON ANIMAL HOSPITAL</v>
      </c>
      <c r="J186" s="2">
        <v>136.5</v>
      </c>
    </row>
    <row r="187" spans="7:10" ht="15">
      <c r="G187" t="s">
        <v>13</v>
      </c>
      <c r="H187" t="str">
        <f>"474636"</f>
        <v>474636</v>
      </c>
      <c r="I187" t="str">
        <f>"DEASON ANIMAL HOSPITAL"</f>
        <v>DEASON ANIMAL HOSPITAL</v>
      </c>
      <c r="J187" s="2">
        <v>107.94</v>
      </c>
    </row>
    <row r="188" spans="7:10" ht="15">
      <c r="G188" t="s">
        <v>13</v>
      </c>
      <c r="H188" t="str">
        <f>"475464"</f>
        <v>475464</v>
      </c>
      <c r="I188" t="str">
        <f>"DEASON ANIMAL HOSPITAL"</f>
        <v>DEASON ANIMAL HOSPITAL</v>
      </c>
      <c r="J188" s="2">
        <v>15</v>
      </c>
    </row>
    <row r="189" spans="1:10" ht="15">
      <c r="A189" t="s">
        <v>38</v>
      </c>
      <c r="B189" t="s">
        <v>11</v>
      </c>
      <c r="C189">
        <v>52577</v>
      </c>
      <c r="D189" s="2">
        <v>4343.84</v>
      </c>
      <c r="E189" s="1">
        <v>42656</v>
      </c>
      <c r="F189" t="s">
        <v>18</v>
      </c>
      <c r="G189" t="s">
        <v>13</v>
      </c>
      <c r="H189" t="str">
        <f>"0813159-1"</f>
        <v>0813159-1</v>
      </c>
      <c r="I189" t="str">
        <f>"FERGUSON WATERWORKS - MUNICIPA"</f>
        <v>FERGUSON WATERWORKS - MUNICIPA</v>
      </c>
      <c r="J189" s="2">
        <v>1466.1</v>
      </c>
    </row>
    <row r="190" spans="7:10" ht="15">
      <c r="G190" t="s">
        <v>13</v>
      </c>
      <c r="H190" t="str">
        <f>"0818614"</f>
        <v>0818614</v>
      </c>
      <c r="I190" t="str">
        <f>"FERGUSON WATERWORKS - MUNICIPA"</f>
        <v>FERGUSON WATERWORKS - MUNICIPA</v>
      </c>
      <c r="J190" s="2">
        <v>2343.75</v>
      </c>
    </row>
    <row r="191" spans="7:10" ht="15">
      <c r="G191" t="s">
        <v>13</v>
      </c>
      <c r="H191" t="str">
        <f>"0819647"</f>
        <v>0819647</v>
      </c>
      <c r="I191" t="str">
        <f>"FERGUSON WATERWORKS - MUNICIPA"</f>
        <v>FERGUSON WATERWORKS - MUNICIPA</v>
      </c>
      <c r="J191" s="2">
        <v>314.5</v>
      </c>
    </row>
    <row r="192" spans="7:10" ht="15">
      <c r="G192" t="s">
        <v>13</v>
      </c>
      <c r="H192" t="str">
        <f>"0820240"</f>
        <v>0820240</v>
      </c>
      <c r="I192" t="str">
        <f>"FERGUSON WATERWORKS - MUNICIPA"</f>
        <v>FERGUSON WATERWORKS - MUNICIPA</v>
      </c>
      <c r="J192" s="2">
        <v>219.49</v>
      </c>
    </row>
    <row r="193" spans="1:10" ht="15">
      <c r="A193" t="s">
        <v>39</v>
      </c>
      <c r="B193" t="s">
        <v>11</v>
      </c>
      <c r="C193">
        <v>52578</v>
      </c>
      <c r="D193" s="2">
        <v>28</v>
      </c>
      <c r="E193" s="1">
        <v>42656</v>
      </c>
      <c r="F193" t="s">
        <v>18</v>
      </c>
      <c r="G193" t="s">
        <v>13</v>
      </c>
      <c r="H193" t="str">
        <f>"201610117708"</f>
        <v>201610117708</v>
      </c>
      <c r="I193" t="str">
        <f>"LUBE WORKS"</f>
        <v>LUBE WORKS</v>
      </c>
      <c r="J193" s="2">
        <v>14</v>
      </c>
    </row>
    <row r="194" spans="7:10" ht="15">
      <c r="G194" t="s">
        <v>13</v>
      </c>
      <c r="H194" t="str">
        <f>"236633"</f>
        <v>236633</v>
      </c>
      <c r="I194" t="str">
        <f>"LUBE WORKS"</f>
        <v>LUBE WORKS</v>
      </c>
      <c r="J194" s="2">
        <v>7</v>
      </c>
    </row>
    <row r="195" spans="7:10" ht="15">
      <c r="G195" t="s">
        <v>13</v>
      </c>
      <c r="H195" t="str">
        <f>"236775"</f>
        <v>236775</v>
      </c>
      <c r="I195" t="str">
        <f>"LUBE WORKS"</f>
        <v>LUBE WORKS</v>
      </c>
      <c r="J195" s="2">
        <v>7</v>
      </c>
    </row>
    <row r="196" spans="1:10" ht="15">
      <c r="A196" t="s">
        <v>40</v>
      </c>
      <c r="B196" t="s">
        <v>11</v>
      </c>
      <c r="C196">
        <v>52579</v>
      </c>
      <c r="D196" s="2">
        <v>107.75</v>
      </c>
      <c r="E196" s="1">
        <v>42656</v>
      </c>
      <c r="F196" t="s">
        <v>18</v>
      </c>
      <c r="G196" t="s">
        <v>13</v>
      </c>
      <c r="H196" t="str">
        <f>"2009926"</f>
        <v>2009926</v>
      </c>
      <c r="I196" t="str">
        <f>"DECOTY COFFEE COMPANY"</f>
        <v>DECOTY COFFEE COMPANY</v>
      </c>
      <c r="J196" s="2">
        <v>107.75</v>
      </c>
    </row>
    <row r="197" spans="1:10" ht="15">
      <c r="A197" t="s">
        <v>41</v>
      </c>
      <c r="B197" t="s">
        <v>11</v>
      </c>
      <c r="C197">
        <v>52580</v>
      </c>
      <c r="D197" s="2">
        <v>15.98</v>
      </c>
      <c r="E197" s="1">
        <v>42656</v>
      </c>
      <c r="F197" t="s">
        <v>18</v>
      </c>
      <c r="G197" t="s">
        <v>13</v>
      </c>
      <c r="H197" t="str">
        <f>"13946774-00"</f>
        <v>13946774-00</v>
      </c>
      <c r="I197" t="str">
        <f>"3-D WELDING &amp; INDUSTRIAL SUPPL"</f>
        <v>3-D WELDING &amp; INDUSTRIAL SUPPL</v>
      </c>
      <c r="J197" s="2">
        <v>15.98</v>
      </c>
    </row>
    <row r="198" spans="1:10" ht="15">
      <c r="A198" t="s">
        <v>42</v>
      </c>
      <c r="B198" t="s">
        <v>11</v>
      </c>
      <c r="C198">
        <v>52581</v>
      </c>
      <c r="D198" s="2">
        <v>35.7</v>
      </c>
      <c r="E198" s="1">
        <v>42656</v>
      </c>
      <c r="F198" t="s">
        <v>18</v>
      </c>
      <c r="G198" t="s">
        <v>13</v>
      </c>
      <c r="H198" t="str">
        <f>"1166960-20160930"</f>
        <v>1166960-20160930</v>
      </c>
      <c r="I198" t="str">
        <f>"LEXISNEXIS RISK SOLUTIONS"</f>
        <v>LEXISNEXIS RISK SOLUTIONS</v>
      </c>
      <c r="J198" s="2">
        <v>35.7</v>
      </c>
    </row>
    <row r="199" spans="1:10" ht="15">
      <c r="A199" t="s">
        <v>43</v>
      </c>
      <c r="B199" t="s">
        <v>11</v>
      </c>
      <c r="C199">
        <v>52582</v>
      </c>
      <c r="D199" s="2">
        <v>3.79</v>
      </c>
      <c r="E199" s="1">
        <v>42656</v>
      </c>
      <c r="F199" t="s">
        <v>18</v>
      </c>
      <c r="G199" t="s">
        <v>13</v>
      </c>
      <c r="H199" t="str">
        <f>"103250"</f>
        <v>103250</v>
      </c>
      <c r="I199" t="str">
        <f>"DITTMAR LUMBER CO."</f>
        <v>DITTMAR LUMBER CO.</v>
      </c>
      <c r="J199" s="2">
        <v>3.79</v>
      </c>
    </row>
    <row r="200" spans="1:10" ht="15">
      <c r="A200" t="s">
        <v>44</v>
      </c>
      <c r="B200" t="s">
        <v>11</v>
      </c>
      <c r="C200">
        <v>52583</v>
      </c>
      <c r="D200" s="2">
        <v>621.38</v>
      </c>
      <c r="E200" s="1">
        <v>42656</v>
      </c>
      <c r="F200" t="s">
        <v>18</v>
      </c>
      <c r="G200" t="s">
        <v>13</v>
      </c>
      <c r="H200" t="str">
        <f>"974433"</f>
        <v>974433</v>
      </c>
      <c r="I200" t="str">
        <f>"USA BLUEBOOK"</f>
        <v>USA BLUEBOOK</v>
      </c>
      <c r="J200" s="2">
        <v>621.38</v>
      </c>
    </row>
    <row r="201" spans="1:10" ht="15">
      <c r="A201" t="s">
        <v>45</v>
      </c>
      <c r="B201" t="s">
        <v>11</v>
      </c>
      <c r="C201">
        <v>52584</v>
      </c>
      <c r="D201" s="2">
        <v>299.9</v>
      </c>
      <c r="E201" s="1">
        <v>42656</v>
      </c>
      <c r="F201" t="s">
        <v>18</v>
      </c>
      <c r="G201" t="s">
        <v>13</v>
      </c>
      <c r="H201" t="str">
        <f>"0125786-IN"</f>
        <v>0125786-IN</v>
      </c>
      <c r="I201" t="str">
        <f>"NARDIS PUBLIC SAFETY"</f>
        <v>NARDIS PUBLIC SAFETY</v>
      </c>
      <c r="J201" s="2">
        <v>299.9</v>
      </c>
    </row>
    <row r="202" spans="1:10" ht="15">
      <c r="A202" t="s">
        <v>46</v>
      </c>
      <c r="B202" t="s">
        <v>11</v>
      </c>
      <c r="C202">
        <v>52585</v>
      </c>
      <c r="D202" s="2">
        <v>3814.14</v>
      </c>
      <c r="E202" s="1">
        <v>42656</v>
      </c>
      <c r="F202" t="s">
        <v>18</v>
      </c>
      <c r="G202" t="s">
        <v>13</v>
      </c>
      <c r="H202" t="str">
        <f>"1339252"</f>
        <v>1339252</v>
      </c>
      <c r="I202" t="str">
        <f aca="true" t="shared" si="2" ref="I202:I218">"BUREAU VERITAS NORTH AMERICA"</f>
        <v>BUREAU VERITAS NORTH AMERICA</v>
      </c>
      <c r="J202" s="2">
        <v>221.02</v>
      </c>
    </row>
    <row r="203" spans="7:10" ht="15">
      <c r="G203" t="s">
        <v>13</v>
      </c>
      <c r="H203" t="str">
        <f>"1339253"</f>
        <v>1339253</v>
      </c>
      <c r="I203" t="str">
        <f t="shared" si="2"/>
        <v>BUREAU VERITAS NORTH AMERICA</v>
      </c>
      <c r="J203" s="2">
        <v>126.92</v>
      </c>
    </row>
    <row r="204" spans="7:10" ht="15">
      <c r="G204" t="s">
        <v>13</v>
      </c>
      <c r="H204" t="str">
        <f>"1339254"</f>
        <v>1339254</v>
      </c>
      <c r="I204" t="str">
        <f t="shared" si="2"/>
        <v>BUREAU VERITAS NORTH AMERICA</v>
      </c>
      <c r="J204" s="2">
        <v>76.92</v>
      </c>
    </row>
    <row r="205" spans="7:10" ht="15">
      <c r="G205" t="s">
        <v>13</v>
      </c>
      <c r="H205" t="str">
        <f>"1339255"</f>
        <v>1339255</v>
      </c>
      <c r="I205" t="str">
        <f t="shared" si="2"/>
        <v>BUREAU VERITAS NORTH AMERICA</v>
      </c>
      <c r="J205" s="2">
        <v>848.25</v>
      </c>
    </row>
    <row r="206" spans="7:10" ht="15">
      <c r="G206" t="s">
        <v>13</v>
      </c>
      <c r="H206" t="str">
        <f>"1339256"</f>
        <v>1339256</v>
      </c>
      <c r="I206" t="str">
        <f t="shared" si="2"/>
        <v>BUREAU VERITAS NORTH AMERICA</v>
      </c>
      <c r="J206" s="2">
        <v>125.55</v>
      </c>
    </row>
    <row r="207" spans="7:10" ht="15">
      <c r="G207" t="s">
        <v>13</v>
      </c>
      <c r="H207" t="str">
        <f>"1339257"</f>
        <v>1339257</v>
      </c>
      <c r="I207" t="str">
        <f t="shared" si="2"/>
        <v>BUREAU VERITAS NORTH AMERICA</v>
      </c>
      <c r="J207" s="2">
        <v>252.93</v>
      </c>
    </row>
    <row r="208" spans="7:10" ht="15">
      <c r="G208" t="s">
        <v>13</v>
      </c>
      <c r="H208" t="str">
        <f>"1339258"</f>
        <v>1339258</v>
      </c>
      <c r="I208" t="str">
        <f t="shared" si="2"/>
        <v>BUREAU VERITAS NORTH AMERICA</v>
      </c>
      <c r="J208" s="2">
        <v>76.92</v>
      </c>
    </row>
    <row r="209" spans="7:10" ht="15">
      <c r="G209" t="s">
        <v>13</v>
      </c>
      <c r="H209" t="str">
        <f>"1339259"</f>
        <v>1339259</v>
      </c>
      <c r="I209" t="str">
        <f t="shared" si="2"/>
        <v>BUREAU VERITAS NORTH AMERICA</v>
      </c>
      <c r="J209" s="2">
        <v>76.92</v>
      </c>
    </row>
    <row r="210" spans="7:10" ht="15">
      <c r="G210" t="s">
        <v>13</v>
      </c>
      <c r="H210" t="str">
        <f>"1339260"</f>
        <v>1339260</v>
      </c>
      <c r="I210" t="str">
        <f t="shared" si="2"/>
        <v>BUREAU VERITAS NORTH AMERICA</v>
      </c>
      <c r="J210" s="2">
        <v>76.92</v>
      </c>
    </row>
    <row r="211" spans="7:10" ht="15">
      <c r="G211" t="s">
        <v>13</v>
      </c>
      <c r="H211" t="str">
        <f>"1339261"</f>
        <v>1339261</v>
      </c>
      <c r="I211" t="str">
        <f t="shared" si="2"/>
        <v>BUREAU VERITAS NORTH AMERICA</v>
      </c>
      <c r="J211" s="2">
        <v>932.25</v>
      </c>
    </row>
    <row r="212" spans="7:10" ht="15">
      <c r="G212" t="s">
        <v>13</v>
      </c>
      <c r="H212" t="str">
        <f>"1339262"</f>
        <v>1339262</v>
      </c>
      <c r="I212" t="str">
        <f t="shared" si="2"/>
        <v>BUREAU VERITAS NORTH AMERICA</v>
      </c>
      <c r="J212" s="2">
        <v>76.92</v>
      </c>
    </row>
    <row r="213" spans="7:10" ht="15">
      <c r="G213" t="s">
        <v>13</v>
      </c>
      <c r="H213" t="str">
        <f>"1339263"</f>
        <v>1339263</v>
      </c>
      <c r="I213" t="str">
        <f t="shared" si="2"/>
        <v>BUREAU VERITAS NORTH AMERICA</v>
      </c>
      <c r="J213" s="2">
        <v>76.92</v>
      </c>
    </row>
    <row r="214" spans="7:10" ht="15">
      <c r="G214" t="s">
        <v>13</v>
      </c>
      <c r="H214" t="str">
        <f>"1339264"</f>
        <v>1339264</v>
      </c>
      <c r="I214" t="str">
        <f t="shared" si="2"/>
        <v>BUREAU VERITAS NORTH AMERICA</v>
      </c>
      <c r="J214" s="2">
        <v>76.92</v>
      </c>
    </row>
    <row r="215" spans="7:10" ht="15">
      <c r="G215" t="s">
        <v>13</v>
      </c>
      <c r="H215" t="str">
        <f>"1339265"</f>
        <v>1339265</v>
      </c>
      <c r="I215" t="str">
        <f t="shared" si="2"/>
        <v>BUREAU VERITAS NORTH AMERICA</v>
      </c>
      <c r="J215" s="2">
        <v>76.92</v>
      </c>
    </row>
    <row r="216" spans="7:10" ht="15">
      <c r="G216" t="s">
        <v>13</v>
      </c>
      <c r="H216" t="str">
        <f>"1339266"</f>
        <v>1339266</v>
      </c>
      <c r="I216" t="str">
        <f t="shared" si="2"/>
        <v>BUREAU VERITAS NORTH AMERICA</v>
      </c>
      <c r="J216" s="2">
        <v>362.01</v>
      </c>
    </row>
    <row r="217" spans="7:10" ht="15">
      <c r="G217" t="s">
        <v>13</v>
      </c>
      <c r="H217" t="str">
        <f>"1339267"</f>
        <v>1339267</v>
      </c>
      <c r="I217" t="str">
        <f t="shared" si="2"/>
        <v>BUREAU VERITAS NORTH AMERICA</v>
      </c>
      <c r="J217" s="2">
        <v>76.92</v>
      </c>
    </row>
    <row r="218" spans="7:10" ht="15">
      <c r="G218" t="s">
        <v>13</v>
      </c>
      <c r="H218" t="str">
        <f>"1339268"</f>
        <v>1339268</v>
      </c>
      <c r="I218" t="str">
        <f t="shared" si="2"/>
        <v>BUREAU VERITAS NORTH AMERICA</v>
      </c>
      <c r="J218" s="2">
        <v>252.93</v>
      </c>
    </row>
    <row r="219" spans="1:10" ht="15">
      <c r="A219" t="s">
        <v>47</v>
      </c>
      <c r="B219" t="s">
        <v>11</v>
      </c>
      <c r="C219">
        <v>52588</v>
      </c>
      <c r="D219" s="2">
        <v>2025.9</v>
      </c>
      <c r="E219" s="1">
        <v>42656</v>
      </c>
      <c r="F219" t="s">
        <v>18</v>
      </c>
      <c r="G219" t="s">
        <v>13</v>
      </c>
      <c r="H219" t="str">
        <f>"9/10/2016"</f>
        <v>9/10/2016</v>
      </c>
      <c r="I219" t="str">
        <f>"CITY OF FLORESVILLE"</f>
        <v>CITY OF FLORESVILLE</v>
      </c>
      <c r="J219" s="2">
        <v>2025.9</v>
      </c>
    </row>
    <row r="220" spans="1:10" ht="15">
      <c r="A220" t="s">
        <v>48</v>
      </c>
      <c r="B220" t="s">
        <v>11</v>
      </c>
      <c r="C220">
        <v>52589</v>
      </c>
      <c r="D220" s="2">
        <v>181.82</v>
      </c>
      <c r="E220" s="1">
        <v>42656</v>
      </c>
      <c r="F220" t="s">
        <v>18</v>
      </c>
      <c r="G220" t="s">
        <v>13</v>
      </c>
      <c r="H220" t="str">
        <f>"3547733248"</f>
        <v>3547733248</v>
      </c>
      <c r="I220" t="str">
        <f>"AUTOZONE"</f>
        <v>AUTOZONE</v>
      </c>
      <c r="J220" s="2">
        <v>37.99</v>
      </c>
    </row>
    <row r="221" spans="7:10" ht="15">
      <c r="G221" t="s">
        <v>13</v>
      </c>
      <c r="H221" t="str">
        <f>"3547739400"</f>
        <v>3547739400</v>
      </c>
      <c r="I221" t="str">
        <f>"AUTOZONE"</f>
        <v>AUTOZONE</v>
      </c>
      <c r="J221" s="2">
        <v>143.83</v>
      </c>
    </row>
    <row r="222" spans="1:10" ht="15">
      <c r="A222" t="s">
        <v>49</v>
      </c>
      <c r="B222" t="s">
        <v>11</v>
      </c>
      <c r="C222">
        <v>52590</v>
      </c>
      <c r="D222" s="2">
        <v>140</v>
      </c>
      <c r="E222" s="1">
        <v>42656</v>
      </c>
      <c r="F222" t="s">
        <v>18</v>
      </c>
      <c r="G222" t="s">
        <v>13</v>
      </c>
      <c r="H222" t="str">
        <f>"7056"</f>
        <v>7056</v>
      </c>
      <c r="I222" t="str">
        <f>"DREWA DESIGNS  INC."</f>
        <v>DREWA DESIGNS  INC.</v>
      </c>
      <c r="J222" s="2">
        <v>140</v>
      </c>
    </row>
    <row r="223" spans="1:10" ht="15">
      <c r="A223" t="s">
        <v>50</v>
      </c>
      <c r="B223" t="s">
        <v>11</v>
      </c>
      <c r="C223">
        <v>52591</v>
      </c>
      <c r="D223" s="2">
        <v>76.5</v>
      </c>
      <c r="E223" s="1">
        <v>42656</v>
      </c>
      <c r="F223" t="s">
        <v>18</v>
      </c>
      <c r="G223" t="s">
        <v>13</v>
      </c>
      <c r="H223" t="str">
        <f>"670547"</f>
        <v>670547</v>
      </c>
      <c r="I223" t="str">
        <f>"SOUTHWAY FORD"</f>
        <v>SOUTHWAY FORD</v>
      </c>
      <c r="J223" s="2">
        <v>76.5</v>
      </c>
    </row>
    <row r="224" spans="1:10" ht="15">
      <c r="A224" t="s">
        <v>51</v>
      </c>
      <c r="B224" t="s">
        <v>11</v>
      </c>
      <c r="C224">
        <v>52592</v>
      </c>
      <c r="D224" s="2">
        <v>156</v>
      </c>
      <c r="E224" s="1">
        <v>42656</v>
      </c>
      <c r="F224" t="s">
        <v>18</v>
      </c>
      <c r="G224" t="s">
        <v>13</v>
      </c>
      <c r="H224" t="str">
        <f>"111258"</f>
        <v>111258</v>
      </c>
      <c r="I224" t="str">
        <f>"WESTON SERVICES OF TEXAS"</f>
        <v>WESTON SERVICES OF TEXAS</v>
      </c>
      <c r="J224" s="2">
        <v>156</v>
      </c>
    </row>
    <row r="225" spans="1:10" ht="15">
      <c r="A225" t="s">
        <v>52</v>
      </c>
      <c r="B225" t="s">
        <v>11</v>
      </c>
      <c r="C225">
        <v>52593</v>
      </c>
      <c r="D225" s="2">
        <v>3750</v>
      </c>
      <c r="E225" s="1">
        <v>42656</v>
      </c>
      <c r="F225" t="s">
        <v>18</v>
      </c>
      <c r="G225" t="s">
        <v>13</v>
      </c>
      <c r="H225" t="str">
        <f>"47886"</f>
        <v>47886</v>
      </c>
      <c r="I225" t="str">
        <f>"LOPEZ EXTERMINATING SERVICE  I"</f>
        <v>LOPEZ EXTERMINATING SERVICE  I</v>
      </c>
      <c r="J225" s="2">
        <v>150</v>
      </c>
    </row>
    <row r="226" spans="7:10" ht="15">
      <c r="G226" t="s">
        <v>13</v>
      </c>
      <c r="H226" t="str">
        <f>"47939"</f>
        <v>47939</v>
      </c>
      <c r="I226" t="str">
        <f>"LOPEZ EXTERMINATING SERVICE  I"</f>
        <v>LOPEZ EXTERMINATING SERVICE  I</v>
      </c>
      <c r="J226" s="2">
        <v>3600</v>
      </c>
    </row>
    <row r="227" spans="1:10" ht="15">
      <c r="A227" t="s">
        <v>53</v>
      </c>
      <c r="B227" t="s">
        <v>11</v>
      </c>
      <c r="C227">
        <v>52594</v>
      </c>
      <c r="D227" s="2">
        <v>377.25</v>
      </c>
      <c r="E227" s="1">
        <v>42656</v>
      </c>
      <c r="F227" t="s">
        <v>18</v>
      </c>
      <c r="G227" t="s">
        <v>13</v>
      </c>
      <c r="H227" t="str">
        <f>"F10797"</f>
        <v>F10797</v>
      </c>
      <c r="I227" t="str">
        <f>"EAST END GLASS"</f>
        <v>EAST END GLASS</v>
      </c>
      <c r="J227" s="2">
        <v>377.25</v>
      </c>
    </row>
    <row r="228" spans="1:10" ht="15">
      <c r="A228" t="s">
        <v>54</v>
      </c>
      <c r="B228" t="s">
        <v>11</v>
      </c>
      <c r="C228">
        <v>52595</v>
      </c>
      <c r="D228" s="2">
        <v>2000</v>
      </c>
      <c r="E228" s="1">
        <v>42656</v>
      </c>
      <c r="F228" t="s">
        <v>18</v>
      </c>
      <c r="G228" t="s">
        <v>13</v>
      </c>
      <c r="H228" t="str">
        <f>"1364"</f>
        <v>1364</v>
      </c>
      <c r="I228" t="s">
        <v>311</v>
      </c>
      <c r="J228" s="2">
        <v>2000</v>
      </c>
    </row>
    <row r="229" spans="1:10" ht="15">
      <c r="A229" t="s">
        <v>55</v>
      </c>
      <c r="B229" t="s">
        <v>11</v>
      </c>
      <c r="C229">
        <v>52596</v>
      </c>
      <c r="D229" s="2">
        <v>370.1</v>
      </c>
      <c r="E229" s="1">
        <v>42656</v>
      </c>
      <c r="F229" t="s">
        <v>18</v>
      </c>
      <c r="G229" t="s">
        <v>13</v>
      </c>
      <c r="H229" t="str">
        <f>"25588"</f>
        <v>25588</v>
      </c>
      <c r="I229" t="str">
        <f>"PRUSKI'S TIRE SHOP  L.L.C."</f>
        <v>PRUSKI'S TIRE SHOP  L.L.C.</v>
      </c>
      <c r="J229" s="2">
        <v>6</v>
      </c>
    </row>
    <row r="230" spans="7:10" ht="15">
      <c r="G230" t="s">
        <v>13</v>
      </c>
      <c r="H230" t="str">
        <f>"25687"</f>
        <v>25687</v>
      </c>
      <c r="I230" t="str">
        <f>"PRUSKI'S TIRE SHOP  L.L.C."</f>
        <v>PRUSKI'S TIRE SHOP  L.L.C.</v>
      </c>
      <c r="J230" s="2">
        <v>339.1</v>
      </c>
    </row>
    <row r="231" spans="7:10" ht="15">
      <c r="G231" t="s">
        <v>13</v>
      </c>
      <c r="H231" t="str">
        <f>"25805"</f>
        <v>25805</v>
      </c>
      <c r="I231" t="str">
        <f>"PRUSKI'S TIRE SHOP  L.L.C."</f>
        <v>PRUSKI'S TIRE SHOP  L.L.C.</v>
      </c>
      <c r="J231" s="2">
        <v>25</v>
      </c>
    </row>
    <row r="232" spans="1:10" ht="15">
      <c r="A232" t="s">
        <v>56</v>
      </c>
      <c r="B232" t="s">
        <v>11</v>
      </c>
      <c r="C232">
        <v>52597</v>
      </c>
      <c r="D232" s="2">
        <v>900</v>
      </c>
      <c r="E232" s="1">
        <v>42656</v>
      </c>
      <c r="F232" t="s">
        <v>18</v>
      </c>
      <c r="G232" t="s">
        <v>13</v>
      </c>
      <c r="H232" t="str">
        <f>"0349023-IN"</f>
        <v>0349023-IN</v>
      </c>
      <c r="I232" t="str">
        <f>"SOUTHWASTE DISPOSAL  LLP"</f>
        <v>SOUTHWASTE DISPOSAL  LLP</v>
      </c>
      <c r="J232" s="2">
        <v>200</v>
      </c>
    </row>
    <row r="233" spans="7:10" ht="15">
      <c r="G233" t="s">
        <v>13</v>
      </c>
      <c r="H233" t="str">
        <f>"0349273-IN"</f>
        <v>0349273-IN</v>
      </c>
      <c r="I233" t="str">
        <f>"SOUTHWASTE DISPOSAL  LLP"</f>
        <v>SOUTHWASTE DISPOSAL  LLP</v>
      </c>
      <c r="J233" s="2">
        <v>300</v>
      </c>
    </row>
    <row r="234" spans="7:10" ht="15">
      <c r="G234" t="s">
        <v>13</v>
      </c>
      <c r="H234" t="str">
        <f>"0349545-IN"</f>
        <v>0349545-IN</v>
      </c>
      <c r="I234" t="str">
        <f>"SOUTHWASTE DISPOSAL  LLP"</f>
        <v>SOUTHWASTE DISPOSAL  LLP</v>
      </c>
      <c r="J234" s="2">
        <v>300</v>
      </c>
    </row>
    <row r="235" spans="7:10" ht="15">
      <c r="G235" t="s">
        <v>13</v>
      </c>
      <c r="H235" t="str">
        <f>"0349569-IN"</f>
        <v>0349569-IN</v>
      </c>
      <c r="I235" t="str">
        <f>"SOUTHWASTE DISPOSAL  LLP"</f>
        <v>SOUTHWASTE DISPOSAL  LLP</v>
      </c>
      <c r="J235" s="2">
        <v>100</v>
      </c>
    </row>
    <row r="236" spans="1:10" ht="15">
      <c r="A236" t="s">
        <v>57</v>
      </c>
      <c r="B236" t="s">
        <v>11</v>
      </c>
      <c r="C236">
        <v>52598</v>
      </c>
      <c r="D236" s="2">
        <v>2181.91</v>
      </c>
      <c r="E236" s="1">
        <v>42656</v>
      </c>
      <c r="F236" t="s">
        <v>18</v>
      </c>
      <c r="G236" t="s">
        <v>13</v>
      </c>
      <c r="H236" t="str">
        <f>"L00049"</f>
        <v>L00049</v>
      </c>
      <c r="I236" t="str">
        <f>"ASCO"</f>
        <v>ASCO</v>
      </c>
      <c r="J236" s="2">
        <v>2181.91</v>
      </c>
    </row>
    <row r="237" spans="1:10" ht="15">
      <c r="A237" t="s">
        <v>58</v>
      </c>
      <c r="B237" t="s">
        <v>11</v>
      </c>
      <c r="C237">
        <v>52599</v>
      </c>
      <c r="D237" s="2">
        <v>700</v>
      </c>
      <c r="E237" s="1">
        <v>42656</v>
      </c>
      <c r="F237" t="s">
        <v>18</v>
      </c>
      <c r="G237" t="s">
        <v>13</v>
      </c>
      <c r="H237" t="str">
        <f>"MR#N00922002"</f>
        <v>MR#N00922002</v>
      </c>
      <c r="I237" t="str">
        <f>"METHODIST HEALTHCARE SYSTEM"</f>
        <v>METHODIST HEALTHCARE SYSTEM</v>
      </c>
      <c r="J237" s="2">
        <v>700</v>
      </c>
    </row>
    <row r="238" spans="1:10" ht="15">
      <c r="A238" t="s">
        <v>59</v>
      </c>
      <c r="B238" t="s">
        <v>11</v>
      </c>
      <c r="C238">
        <v>52600</v>
      </c>
      <c r="D238" s="2">
        <v>61.25</v>
      </c>
      <c r="E238" s="1">
        <v>42656</v>
      </c>
      <c r="F238" t="s">
        <v>18</v>
      </c>
      <c r="G238" t="s">
        <v>13</v>
      </c>
      <c r="H238" t="str">
        <f>"3375979"</f>
        <v>3375979</v>
      </c>
      <c r="I238" t="str">
        <f>"EWALD TRACTOR SUPPLY"</f>
        <v>EWALD TRACTOR SUPPLY</v>
      </c>
      <c r="J238" s="2">
        <v>11.67</v>
      </c>
    </row>
    <row r="239" spans="7:10" ht="15">
      <c r="G239" t="s">
        <v>13</v>
      </c>
      <c r="H239" t="str">
        <f>"3376027"</f>
        <v>3376027</v>
      </c>
      <c r="I239" t="str">
        <f>"EWALD TRACTOR SUPPLY"</f>
        <v>EWALD TRACTOR SUPPLY</v>
      </c>
      <c r="J239" s="2">
        <v>49.58</v>
      </c>
    </row>
    <row r="240" spans="1:10" ht="15">
      <c r="A240" t="s">
        <v>60</v>
      </c>
      <c r="B240" t="s">
        <v>11</v>
      </c>
      <c r="C240">
        <v>52601</v>
      </c>
      <c r="D240" s="2">
        <v>180</v>
      </c>
      <c r="E240" s="1">
        <v>42656</v>
      </c>
      <c r="F240" t="s">
        <v>18</v>
      </c>
      <c r="G240" t="s">
        <v>13</v>
      </c>
      <c r="H240" t="str">
        <f>"1001811890"</f>
        <v>1001811890</v>
      </c>
      <c r="I240" t="str">
        <f>"PITNEY BOWES"</f>
        <v>PITNEY BOWES</v>
      </c>
      <c r="J240" s="2">
        <v>180</v>
      </c>
    </row>
    <row r="241" spans="1:10" ht="15">
      <c r="A241" t="s">
        <v>61</v>
      </c>
      <c r="B241" t="s">
        <v>11</v>
      </c>
      <c r="C241">
        <v>52602</v>
      </c>
      <c r="D241" s="2">
        <v>258.54</v>
      </c>
      <c r="E241" s="1">
        <v>42656</v>
      </c>
      <c r="F241" t="s">
        <v>18</v>
      </c>
      <c r="G241" t="s">
        <v>13</v>
      </c>
      <c r="H241" t="str">
        <f>"43682336"</f>
        <v>43682336</v>
      </c>
      <c r="I241" t="str">
        <f>"THE GOODYEAR TIRE &amp; RUBBER COM"</f>
        <v>THE GOODYEAR TIRE &amp; RUBBER COM</v>
      </c>
      <c r="J241" s="2">
        <v>258.54</v>
      </c>
    </row>
    <row r="242" spans="1:10" ht="15">
      <c r="A242" t="s">
        <v>62</v>
      </c>
      <c r="B242" t="s">
        <v>11</v>
      </c>
      <c r="C242">
        <v>52603</v>
      </c>
      <c r="D242" s="2">
        <v>912.8</v>
      </c>
      <c r="E242" s="1">
        <v>42656</v>
      </c>
      <c r="F242" t="s">
        <v>18</v>
      </c>
      <c r="G242" t="s">
        <v>13</v>
      </c>
      <c r="H242" t="str">
        <f>"E56667-IN"</f>
        <v>E56667-IN</v>
      </c>
      <c r="I242" t="str">
        <f>"FIDLAR ELECTION SERVICES"</f>
        <v>FIDLAR ELECTION SERVICES</v>
      </c>
      <c r="J242" s="2">
        <v>912.8</v>
      </c>
    </row>
    <row r="243" spans="1:10" ht="15">
      <c r="A243" t="s">
        <v>63</v>
      </c>
      <c r="B243" t="s">
        <v>11</v>
      </c>
      <c r="C243">
        <v>52604</v>
      </c>
      <c r="D243" s="2">
        <v>1690.71</v>
      </c>
      <c r="E243" s="1">
        <v>42656</v>
      </c>
      <c r="F243" t="s">
        <v>18</v>
      </c>
      <c r="G243" t="s">
        <v>13</v>
      </c>
      <c r="H243" t="str">
        <f>"087501164"</f>
        <v>087501164</v>
      </c>
      <c r="I243" t="str">
        <f aca="true" t="shared" si="3" ref="I243:I252">"CINTAS CORPORATION #087"</f>
        <v>CINTAS CORPORATION #087</v>
      </c>
      <c r="J243" s="2">
        <v>223.83</v>
      </c>
    </row>
    <row r="244" spans="7:10" ht="15">
      <c r="G244" t="s">
        <v>13</v>
      </c>
      <c r="H244" t="str">
        <f>"087505239"</f>
        <v>087505239</v>
      </c>
      <c r="I244" t="str">
        <f t="shared" si="3"/>
        <v>CINTAS CORPORATION #087</v>
      </c>
      <c r="J244" s="2">
        <v>159.58</v>
      </c>
    </row>
    <row r="245" spans="7:10" ht="15">
      <c r="G245" t="s">
        <v>13</v>
      </c>
      <c r="H245" t="str">
        <f>"087509317"</f>
        <v>087509317</v>
      </c>
      <c r="I245" t="str">
        <f t="shared" si="3"/>
        <v>CINTAS CORPORATION #087</v>
      </c>
      <c r="J245" s="2">
        <v>91.89</v>
      </c>
    </row>
    <row r="246" spans="7:10" ht="15">
      <c r="G246" t="s">
        <v>13</v>
      </c>
      <c r="H246" t="str">
        <f>"087513403"</f>
        <v>087513403</v>
      </c>
      <c r="I246" t="str">
        <f t="shared" si="3"/>
        <v>CINTAS CORPORATION #087</v>
      </c>
      <c r="J246" s="2">
        <v>278.99</v>
      </c>
    </row>
    <row r="247" spans="7:10" ht="15">
      <c r="G247" t="s">
        <v>13</v>
      </c>
      <c r="H247" t="str">
        <f>"087517494"</f>
        <v>087517494</v>
      </c>
      <c r="I247" t="str">
        <f t="shared" si="3"/>
        <v>CINTAS CORPORATION #087</v>
      </c>
      <c r="J247" s="2">
        <v>223.83</v>
      </c>
    </row>
    <row r="248" spans="7:10" ht="15">
      <c r="G248" t="s">
        <v>13</v>
      </c>
      <c r="H248" t="str">
        <f>"087521593"</f>
        <v>087521593</v>
      </c>
      <c r="I248" t="str">
        <f t="shared" si="3"/>
        <v>CINTAS CORPORATION #087</v>
      </c>
      <c r="J248" s="2">
        <v>159.58</v>
      </c>
    </row>
    <row r="249" spans="7:10" ht="15">
      <c r="G249" t="s">
        <v>13</v>
      </c>
      <c r="H249" t="str">
        <f>"087525687"</f>
        <v>087525687</v>
      </c>
      <c r="I249" t="str">
        <f t="shared" si="3"/>
        <v>CINTAS CORPORATION #087</v>
      </c>
      <c r="J249" s="2">
        <v>91.89</v>
      </c>
    </row>
    <row r="250" spans="7:10" ht="15">
      <c r="G250" t="s">
        <v>13</v>
      </c>
      <c r="H250" t="str">
        <f>"087529790"</f>
        <v>087529790</v>
      </c>
      <c r="I250" t="str">
        <f t="shared" si="3"/>
        <v>CINTAS CORPORATION #087</v>
      </c>
      <c r="J250" s="2">
        <v>185.44</v>
      </c>
    </row>
    <row r="251" spans="7:10" ht="15">
      <c r="G251" t="s">
        <v>13</v>
      </c>
      <c r="H251" t="str">
        <f>"087533970"</f>
        <v>087533970</v>
      </c>
      <c r="I251" t="str">
        <f t="shared" si="3"/>
        <v>CINTAS CORPORATION #087</v>
      </c>
      <c r="J251" s="2">
        <v>51.85</v>
      </c>
    </row>
    <row r="252" spans="7:10" ht="15">
      <c r="G252" t="s">
        <v>13</v>
      </c>
      <c r="H252" t="str">
        <f>"087533971"</f>
        <v>087533971</v>
      </c>
      <c r="I252" t="str">
        <f t="shared" si="3"/>
        <v>CINTAS CORPORATION #087</v>
      </c>
      <c r="J252" s="2">
        <v>223.83</v>
      </c>
    </row>
    <row r="253" spans="1:10" ht="15">
      <c r="A253" t="s">
        <v>64</v>
      </c>
      <c r="B253" t="s">
        <v>11</v>
      </c>
      <c r="C253">
        <v>52606</v>
      </c>
      <c r="D253" s="2">
        <v>32</v>
      </c>
      <c r="E253" s="1">
        <v>42656</v>
      </c>
      <c r="F253" t="s">
        <v>18</v>
      </c>
      <c r="G253" t="s">
        <v>13</v>
      </c>
      <c r="H253" t="str">
        <f>"474625"</f>
        <v>474625</v>
      </c>
      <c r="I253" t="str">
        <f>"VILLA TIRES"</f>
        <v>VILLA TIRES</v>
      </c>
      <c r="J253" s="2">
        <v>32</v>
      </c>
    </row>
    <row r="254" spans="1:10" ht="15">
      <c r="A254" t="s">
        <v>65</v>
      </c>
      <c r="B254" t="s">
        <v>11</v>
      </c>
      <c r="C254">
        <v>52607</v>
      </c>
      <c r="D254" s="2">
        <v>3374.61</v>
      </c>
      <c r="E254" s="1">
        <v>42656</v>
      </c>
      <c r="F254" t="s">
        <v>18</v>
      </c>
      <c r="G254" t="s">
        <v>13</v>
      </c>
      <c r="H254" t="str">
        <f>"9772572751"</f>
        <v>9772572751</v>
      </c>
      <c r="I254" t="str">
        <f>"VERIZON WIRELESS"</f>
        <v>VERIZON WIRELESS</v>
      </c>
      <c r="J254" s="2">
        <v>3269.94</v>
      </c>
    </row>
    <row r="255" spans="7:10" ht="15">
      <c r="G255" t="s">
        <v>13</v>
      </c>
      <c r="H255" t="str">
        <f>"9772572752"</f>
        <v>9772572752</v>
      </c>
      <c r="I255" t="str">
        <f>"VERIZON WIRELESS"</f>
        <v>VERIZON WIRELESS</v>
      </c>
      <c r="J255" s="2">
        <v>104.67</v>
      </c>
    </row>
    <row r="256" spans="1:10" ht="15">
      <c r="A256" t="s">
        <v>66</v>
      </c>
      <c r="B256" t="s">
        <v>11</v>
      </c>
      <c r="C256">
        <v>52608</v>
      </c>
      <c r="D256" s="2">
        <v>700</v>
      </c>
      <c r="E256" s="1">
        <v>42656</v>
      </c>
      <c r="F256" t="s">
        <v>18</v>
      </c>
      <c r="G256" t="s">
        <v>13</v>
      </c>
      <c r="H256" t="str">
        <f>"SEPT. PERMITS"</f>
        <v>SEPT. PERMITS</v>
      </c>
      <c r="I256" t="str">
        <f>"WILSON COUNTY AUDITOR"</f>
        <v>WILSON COUNTY AUDITOR</v>
      </c>
      <c r="J256" s="2">
        <v>700</v>
      </c>
    </row>
    <row r="257" spans="1:10" ht="15">
      <c r="A257" t="s">
        <v>67</v>
      </c>
      <c r="B257" t="s">
        <v>11</v>
      </c>
      <c r="C257">
        <v>52609</v>
      </c>
      <c r="D257" s="2">
        <v>270</v>
      </c>
      <c r="E257" s="1">
        <v>42656</v>
      </c>
      <c r="F257" t="s">
        <v>18</v>
      </c>
      <c r="G257" t="s">
        <v>13</v>
      </c>
      <c r="H257" t="str">
        <f>"SEPT. 16"</f>
        <v>SEPT. 16</v>
      </c>
      <c r="I257" t="s">
        <v>314</v>
      </c>
      <c r="J257" s="2">
        <v>270</v>
      </c>
    </row>
    <row r="258" spans="1:10" ht="15">
      <c r="A258" t="s">
        <v>68</v>
      </c>
      <c r="B258" t="s">
        <v>11</v>
      </c>
      <c r="C258">
        <v>52610</v>
      </c>
      <c r="D258" s="2">
        <v>426.17</v>
      </c>
      <c r="E258" s="1">
        <v>42656</v>
      </c>
      <c r="F258" t="s">
        <v>18</v>
      </c>
      <c r="G258" t="s">
        <v>13</v>
      </c>
      <c r="H258" t="str">
        <f>"863492992001"</f>
        <v>863492992001</v>
      </c>
      <c r="I258" t="str">
        <f>"OFFICE DEPOT  INC."</f>
        <v>OFFICE DEPOT  INC.</v>
      </c>
      <c r="J258" s="2">
        <v>416.17</v>
      </c>
    </row>
    <row r="259" spans="7:10" ht="15">
      <c r="G259" t="s">
        <v>13</v>
      </c>
      <c r="H259" t="str">
        <f>"863493145001"</f>
        <v>863493145001</v>
      </c>
      <c r="I259" t="str">
        <f>"OFFICE DEPOT  INC."</f>
        <v>OFFICE DEPOT  INC.</v>
      </c>
      <c r="J259" s="2">
        <v>10</v>
      </c>
    </row>
    <row r="260" spans="1:10" ht="15">
      <c r="A260" t="s">
        <v>69</v>
      </c>
      <c r="B260" t="s">
        <v>11</v>
      </c>
      <c r="C260">
        <v>52611</v>
      </c>
      <c r="D260" s="2">
        <v>175</v>
      </c>
      <c r="E260" s="1">
        <v>42656</v>
      </c>
      <c r="F260" t="s">
        <v>18</v>
      </c>
      <c r="G260" t="s">
        <v>13</v>
      </c>
      <c r="H260" t="str">
        <f>"LIC#BG748825"</f>
        <v>LIC#BG748825</v>
      </c>
      <c r="I260" t="str">
        <f>"WILSON COUNTY TAX COLLECTOR"</f>
        <v>WILSON COUNTY TAX COLLECTOR</v>
      </c>
      <c r="J260" s="2">
        <v>175</v>
      </c>
    </row>
    <row r="261" spans="1:10" ht="15">
      <c r="A261" t="s">
        <v>70</v>
      </c>
      <c r="B261" t="s">
        <v>11</v>
      </c>
      <c r="C261">
        <v>52612</v>
      </c>
      <c r="D261" s="2">
        <v>121.9</v>
      </c>
      <c r="E261" s="1">
        <v>42656</v>
      </c>
      <c r="F261" t="s">
        <v>18</v>
      </c>
      <c r="G261" t="s">
        <v>13</v>
      </c>
      <c r="H261" t="str">
        <f>"1423209"</f>
        <v>1423209</v>
      </c>
      <c r="I261" t="str">
        <f>"OMNIBUS-M  INC.D.B.A."</f>
        <v>OMNIBUS-M  INC.D.B.A.</v>
      </c>
      <c r="J261" s="2">
        <v>51.95</v>
      </c>
    </row>
    <row r="262" spans="7:10" ht="15">
      <c r="G262" t="s">
        <v>13</v>
      </c>
      <c r="H262" t="str">
        <f>"1423210"</f>
        <v>1423210</v>
      </c>
      <c r="I262" t="str">
        <f>"OMNIBUS-M  INC.D.B.A."</f>
        <v>OMNIBUS-M  INC.D.B.A.</v>
      </c>
      <c r="J262" s="2">
        <v>69.95</v>
      </c>
    </row>
    <row r="263" spans="1:10" ht="15">
      <c r="A263" t="s">
        <v>71</v>
      </c>
      <c r="B263" t="s">
        <v>11</v>
      </c>
      <c r="C263">
        <v>52613</v>
      </c>
      <c r="D263" s="2">
        <v>138.9</v>
      </c>
      <c r="E263" s="1">
        <v>42656</v>
      </c>
      <c r="F263" t="s">
        <v>18</v>
      </c>
      <c r="G263" t="s">
        <v>13</v>
      </c>
      <c r="H263" t="str">
        <f>"05584574"</f>
        <v>05584574</v>
      </c>
      <c r="I263" t="str">
        <f>"POSITIVE PROMOTIONS  INC."</f>
        <v>POSITIVE PROMOTIONS  INC.</v>
      </c>
      <c r="J263" s="2">
        <v>138.9</v>
      </c>
    </row>
    <row r="264" spans="1:10" ht="15">
      <c r="A264" t="s">
        <v>72</v>
      </c>
      <c r="B264" t="s">
        <v>11</v>
      </c>
      <c r="C264">
        <v>52614</v>
      </c>
      <c r="D264" s="2">
        <v>121</v>
      </c>
      <c r="E264" s="1">
        <v>42656</v>
      </c>
      <c r="F264" t="s">
        <v>18</v>
      </c>
      <c r="G264" t="s">
        <v>13</v>
      </c>
      <c r="H264" t="str">
        <f>"2566"</f>
        <v>2566</v>
      </c>
      <c r="I264" t="str">
        <f>"SRALLA ELECTRIC"</f>
        <v>SRALLA ELECTRIC</v>
      </c>
      <c r="J264" s="2">
        <v>121</v>
      </c>
    </row>
    <row r="265" spans="1:10" ht="15">
      <c r="A265" t="s">
        <v>73</v>
      </c>
      <c r="B265" t="s">
        <v>11</v>
      </c>
      <c r="C265">
        <v>52615</v>
      </c>
      <c r="D265" s="2">
        <v>23.79</v>
      </c>
      <c r="E265" s="1">
        <v>42656</v>
      </c>
      <c r="F265" t="s">
        <v>18</v>
      </c>
      <c r="G265" t="s">
        <v>13</v>
      </c>
      <c r="H265" t="str">
        <f>"5-554-22250"</f>
        <v>5-554-22250</v>
      </c>
      <c r="I265" t="str">
        <f>"FEDEX"</f>
        <v>FEDEX</v>
      </c>
      <c r="J265" s="2">
        <v>23.79</v>
      </c>
    </row>
    <row r="266" spans="1:10" ht="15">
      <c r="A266" t="s">
        <v>74</v>
      </c>
      <c r="B266" t="s">
        <v>11</v>
      </c>
      <c r="C266">
        <v>52616</v>
      </c>
      <c r="D266" s="2">
        <v>15.64</v>
      </c>
      <c r="E266" s="1">
        <v>42656</v>
      </c>
      <c r="F266" t="s">
        <v>18</v>
      </c>
      <c r="G266" t="s">
        <v>13</v>
      </c>
      <c r="H266" t="str">
        <f>"201610117706"</f>
        <v>201610117706</v>
      </c>
      <c r="I266" t="str">
        <f>"TX TAG"</f>
        <v>TX TAG</v>
      </c>
      <c r="J266" s="2">
        <v>15.64</v>
      </c>
    </row>
    <row r="267" spans="1:10" ht="15">
      <c r="A267" t="s">
        <v>75</v>
      </c>
      <c r="B267" t="s">
        <v>11</v>
      </c>
      <c r="C267">
        <v>52617</v>
      </c>
      <c r="D267" s="2">
        <v>3160</v>
      </c>
      <c r="E267" s="1">
        <v>42656</v>
      </c>
      <c r="F267" t="s">
        <v>18</v>
      </c>
      <c r="G267" t="s">
        <v>13</v>
      </c>
      <c r="H267" t="str">
        <f>"2016121"</f>
        <v>2016121</v>
      </c>
      <c r="I267" t="s">
        <v>311</v>
      </c>
      <c r="J267" s="2">
        <v>3160</v>
      </c>
    </row>
    <row r="268" spans="1:10" ht="15">
      <c r="A268" t="s">
        <v>76</v>
      </c>
      <c r="B268" t="s">
        <v>11</v>
      </c>
      <c r="C268">
        <v>52618</v>
      </c>
      <c r="D268" s="2">
        <v>6338</v>
      </c>
      <c r="E268" s="1">
        <v>42656</v>
      </c>
      <c r="F268" t="s">
        <v>18</v>
      </c>
      <c r="G268" t="s">
        <v>13</v>
      </c>
      <c r="H268" t="str">
        <f>"255081"</f>
        <v>255081</v>
      </c>
      <c r="I268" t="str">
        <f>"COBBFENDLEY"</f>
        <v>COBBFENDLEY</v>
      </c>
      <c r="J268" s="2">
        <v>6338</v>
      </c>
    </row>
    <row r="269" spans="1:10" ht="15">
      <c r="A269" t="s">
        <v>77</v>
      </c>
      <c r="B269" t="s">
        <v>11</v>
      </c>
      <c r="C269">
        <v>52619</v>
      </c>
      <c r="D269" s="2">
        <v>86.91</v>
      </c>
      <c r="E269" s="1">
        <v>42656</v>
      </c>
      <c r="F269" t="s">
        <v>18</v>
      </c>
      <c r="G269" t="s">
        <v>13</v>
      </c>
      <c r="H269" t="str">
        <f>"010687"</f>
        <v>010687</v>
      </c>
      <c r="I269" t="str">
        <f>"R &amp; S TEXAS PARTS CO"</f>
        <v>R &amp; S TEXAS PARTS CO</v>
      </c>
      <c r="J269" s="2">
        <v>86.91</v>
      </c>
    </row>
    <row r="270" spans="1:10" ht="15">
      <c r="A270" t="s">
        <v>78</v>
      </c>
      <c r="B270" t="s">
        <v>11</v>
      </c>
      <c r="C270">
        <v>52620</v>
      </c>
      <c r="D270" s="2">
        <v>2.46</v>
      </c>
      <c r="E270" s="1">
        <v>42656</v>
      </c>
      <c r="F270" t="s">
        <v>18</v>
      </c>
      <c r="G270" t="s">
        <v>13</v>
      </c>
      <c r="H270" t="str">
        <f>"716064701"</f>
        <v>716064701</v>
      </c>
      <c r="I270" t="str">
        <f>"CTRMA PROCESSING"</f>
        <v>CTRMA PROCESSING</v>
      </c>
      <c r="J270" s="2">
        <v>2.46</v>
      </c>
    </row>
    <row r="271" spans="1:10" ht="15">
      <c r="A271" t="s">
        <v>79</v>
      </c>
      <c r="B271" t="s">
        <v>11</v>
      </c>
      <c r="C271">
        <v>52621</v>
      </c>
      <c r="D271" s="2">
        <v>925</v>
      </c>
      <c r="E271" s="1">
        <v>42656</v>
      </c>
      <c r="F271" t="s">
        <v>18</v>
      </c>
      <c r="G271" t="s">
        <v>13</v>
      </c>
      <c r="H271" t="str">
        <f>"144082"</f>
        <v>144082</v>
      </c>
      <c r="I271" t="str">
        <f>"APPRIVER"</f>
        <v>APPRIVER</v>
      </c>
      <c r="J271" s="2">
        <v>925</v>
      </c>
    </row>
    <row r="272" spans="1:10" ht="15">
      <c r="A272" t="s">
        <v>80</v>
      </c>
      <c r="B272" t="s">
        <v>11</v>
      </c>
      <c r="C272">
        <v>52622</v>
      </c>
      <c r="D272" s="2">
        <v>1020</v>
      </c>
      <c r="E272" s="1">
        <v>42656</v>
      </c>
      <c r="F272" t="s">
        <v>18</v>
      </c>
      <c r="G272" t="s">
        <v>13</v>
      </c>
      <c r="H272" t="str">
        <f>"089017394"</f>
        <v>089017394</v>
      </c>
      <c r="I272" t="str">
        <f>"RAIN FOR RENT"</f>
        <v>RAIN FOR RENT</v>
      </c>
      <c r="J272" s="2">
        <v>1020</v>
      </c>
    </row>
    <row r="273" spans="1:10" ht="15">
      <c r="A273" t="s">
        <v>81</v>
      </c>
      <c r="B273" t="s">
        <v>11</v>
      </c>
      <c r="C273">
        <v>52623</v>
      </c>
      <c r="D273" s="2">
        <v>468.61</v>
      </c>
      <c r="E273" s="1">
        <v>42656</v>
      </c>
      <c r="F273" t="s">
        <v>18</v>
      </c>
      <c r="G273" t="s">
        <v>13</v>
      </c>
      <c r="H273" t="str">
        <f>"201610117705"</f>
        <v>201610117705</v>
      </c>
      <c r="I273" t="str">
        <f>"FRONTIER"</f>
        <v>FRONTIER</v>
      </c>
      <c r="J273" s="2">
        <v>435.87</v>
      </c>
    </row>
    <row r="274" spans="7:10" ht="15">
      <c r="G274" t="s">
        <v>13</v>
      </c>
      <c r="H274" t="str">
        <f>"201610117707"</f>
        <v>201610117707</v>
      </c>
      <c r="I274" t="str">
        <f>"FRONTIER"</f>
        <v>FRONTIER</v>
      </c>
      <c r="J274" s="2">
        <v>32.74</v>
      </c>
    </row>
    <row r="275" spans="1:10" ht="15">
      <c r="A275" t="s">
        <v>82</v>
      </c>
      <c r="B275" t="s">
        <v>11</v>
      </c>
      <c r="C275">
        <v>52624</v>
      </c>
      <c r="D275" s="2">
        <v>10</v>
      </c>
      <c r="E275" s="1">
        <v>42656</v>
      </c>
      <c r="F275" t="s">
        <v>18</v>
      </c>
      <c r="G275" t="s">
        <v>13</v>
      </c>
      <c r="H275" t="str">
        <f>"002"</f>
        <v>002</v>
      </c>
      <c r="I275" t="str">
        <f>"NITA HARRELL"</f>
        <v>NITA HARRELL</v>
      </c>
      <c r="J275" s="2">
        <v>10</v>
      </c>
    </row>
    <row r="276" spans="1:10" ht="15">
      <c r="A276" t="s">
        <v>83</v>
      </c>
      <c r="B276" t="s">
        <v>11</v>
      </c>
      <c r="C276">
        <v>52625</v>
      </c>
      <c r="D276" s="2">
        <v>149.99</v>
      </c>
      <c r="E276" s="1">
        <v>42656</v>
      </c>
      <c r="F276" t="s">
        <v>18</v>
      </c>
      <c r="G276" t="s">
        <v>13</v>
      </c>
      <c r="H276" t="str">
        <f>"22157"</f>
        <v>22157</v>
      </c>
      <c r="I276" t="str">
        <f>"ALBERT'S SMALL ENGINE PARTS"</f>
        <v>ALBERT'S SMALL ENGINE PARTS</v>
      </c>
      <c r="J276" s="2">
        <v>149.99</v>
      </c>
    </row>
    <row r="277" spans="1:10" ht="15">
      <c r="A277" t="s">
        <v>84</v>
      </c>
      <c r="B277" t="s">
        <v>11</v>
      </c>
      <c r="C277">
        <v>52626</v>
      </c>
      <c r="D277" s="2">
        <v>500</v>
      </c>
      <c r="E277" s="1">
        <v>42656</v>
      </c>
      <c r="F277" t="s">
        <v>18</v>
      </c>
      <c r="G277" t="s">
        <v>13</v>
      </c>
      <c r="H277" t="str">
        <f>"67098"</f>
        <v>67098</v>
      </c>
      <c r="I277" t="str">
        <f>"INWEST RETIREMENT SOLUTIONS"</f>
        <v>INWEST RETIREMENT SOLUTIONS</v>
      </c>
      <c r="J277" s="2">
        <v>500</v>
      </c>
    </row>
    <row r="278" spans="1:10" ht="15">
      <c r="A278" t="s">
        <v>85</v>
      </c>
      <c r="B278" t="s">
        <v>11</v>
      </c>
      <c r="C278">
        <v>52627</v>
      </c>
      <c r="D278" s="2">
        <v>75</v>
      </c>
      <c r="E278" s="1">
        <v>42656</v>
      </c>
      <c r="F278" t="s">
        <v>18</v>
      </c>
      <c r="G278" t="s">
        <v>13</v>
      </c>
      <c r="H278" t="str">
        <f>"10/2016-COUNCIL"</f>
        <v>10/2016-COUNCIL</v>
      </c>
      <c r="I278" t="s">
        <v>315</v>
      </c>
      <c r="J278" s="2">
        <v>75</v>
      </c>
    </row>
    <row r="279" spans="1:10" ht="15">
      <c r="A279" t="s">
        <v>86</v>
      </c>
      <c r="B279" t="s">
        <v>11</v>
      </c>
      <c r="C279">
        <v>52628</v>
      </c>
      <c r="D279" s="2">
        <v>75</v>
      </c>
      <c r="E279" s="1">
        <v>42656</v>
      </c>
      <c r="F279" t="s">
        <v>18</v>
      </c>
      <c r="G279" t="s">
        <v>13</v>
      </c>
      <c r="H279" t="str">
        <f>"10/2016-COUNCIL"</f>
        <v>10/2016-COUNCIL</v>
      </c>
      <c r="I279" t="s">
        <v>315</v>
      </c>
      <c r="J279" s="2">
        <v>75</v>
      </c>
    </row>
    <row r="280" spans="1:10" ht="15">
      <c r="A280" t="s">
        <v>87</v>
      </c>
      <c r="B280" t="s">
        <v>11</v>
      </c>
      <c r="C280">
        <v>52629</v>
      </c>
      <c r="D280" s="2">
        <v>100</v>
      </c>
      <c r="E280" s="1">
        <v>42656</v>
      </c>
      <c r="F280" t="s">
        <v>18</v>
      </c>
      <c r="G280" t="s">
        <v>13</v>
      </c>
      <c r="H280" t="str">
        <f>"10/2016-MAYOR"</f>
        <v>10/2016-MAYOR</v>
      </c>
      <c r="I280" t="s">
        <v>315</v>
      </c>
      <c r="J280" s="2">
        <v>100</v>
      </c>
    </row>
    <row r="281" spans="1:10" ht="15">
      <c r="A281" t="s">
        <v>88</v>
      </c>
      <c r="B281" t="s">
        <v>11</v>
      </c>
      <c r="C281">
        <v>52630</v>
      </c>
      <c r="D281" s="2">
        <v>75</v>
      </c>
      <c r="E281" s="1">
        <v>42656</v>
      </c>
      <c r="F281" t="s">
        <v>18</v>
      </c>
      <c r="G281" t="s">
        <v>13</v>
      </c>
      <c r="H281" t="str">
        <f>"10/2016-COUNCIL"</f>
        <v>10/2016-COUNCIL</v>
      </c>
      <c r="I281" t="s">
        <v>315</v>
      </c>
      <c r="J281" s="2">
        <v>75</v>
      </c>
    </row>
    <row r="282" spans="1:10" ht="15">
      <c r="A282" t="s">
        <v>89</v>
      </c>
      <c r="B282" t="s">
        <v>11</v>
      </c>
      <c r="C282">
        <v>52631</v>
      </c>
      <c r="D282" s="2">
        <v>75</v>
      </c>
      <c r="E282" s="1">
        <v>42656</v>
      </c>
      <c r="F282" t="s">
        <v>18</v>
      </c>
      <c r="G282" t="s">
        <v>13</v>
      </c>
      <c r="H282" t="str">
        <f>"10/2016-COUNCIL"</f>
        <v>10/2016-COUNCIL</v>
      </c>
      <c r="I282" t="s">
        <v>315</v>
      </c>
      <c r="J282" s="2">
        <v>75</v>
      </c>
    </row>
    <row r="283" spans="1:10" ht="15">
      <c r="A283" t="s">
        <v>90</v>
      </c>
      <c r="B283" t="s">
        <v>11</v>
      </c>
      <c r="C283">
        <v>52632</v>
      </c>
      <c r="D283" s="2">
        <v>75</v>
      </c>
      <c r="E283" s="1">
        <v>42656</v>
      </c>
      <c r="F283" t="s">
        <v>18</v>
      </c>
      <c r="G283" t="s">
        <v>13</v>
      </c>
      <c r="H283" t="str">
        <f>"10/2016-COUNCIL"</f>
        <v>10/2016-COUNCIL</v>
      </c>
      <c r="I283" t="s">
        <v>315</v>
      </c>
      <c r="J283" s="2">
        <v>75</v>
      </c>
    </row>
    <row r="284" spans="1:10" ht="15">
      <c r="A284" t="s">
        <v>91</v>
      </c>
      <c r="B284" t="s">
        <v>11</v>
      </c>
      <c r="C284">
        <v>52633</v>
      </c>
      <c r="D284" s="2">
        <v>200</v>
      </c>
      <c r="E284" s="1">
        <v>42656</v>
      </c>
      <c r="F284" t="s">
        <v>18</v>
      </c>
      <c r="G284" t="s">
        <v>13</v>
      </c>
      <c r="H284" t="str">
        <f>"10/2016-5/2016"</f>
        <v>10/2016-5/2016</v>
      </c>
      <c r="I284" t="str">
        <f>"JANITORIAL SERVICES"</f>
        <v>JANITORIAL SERVICES</v>
      </c>
      <c r="J284" s="2">
        <v>200</v>
      </c>
    </row>
    <row r="285" spans="1:10" ht="15">
      <c r="A285" t="s">
        <v>92</v>
      </c>
      <c r="B285" t="s">
        <v>11</v>
      </c>
      <c r="C285">
        <v>52634</v>
      </c>
      <c r="D285" s="2">
        <v>1428</v>
      </c>
      <c r="E285" s="1">
        <v>42656</v>
      </c>
      <c r="F285" t="s">
        <v>18</v>
      </c>
      <c r="G285" t="s">
        <v>13</v>
      </c>
      <c r="H285" t="str">
        <f>"238223"</f>
        <v>238223</v>
      </c>
      <c r="I285" t="str">
        <f>"LEADSONLINE"</f>
        <v>LEADSONLINE</v>
      </c>
      <c r="J285" s="2">
        <v>1428</v>
      </c>
    </row>
    <row r="286" spans="1:10" ht="15">
      <c r="A286" t="s">
        <v>85</v>
      </c>
      <c r="B286" t="s">
        <v>11</v>
      </c>
      <c r="C286">
        <v>52635</v>
      </c>
      <c r="D286" s="2">
        <v>169.05</v>
      </c>
      <c r="E286" s="1">
        <v>42656</v>
      </c>
      <c r="F286" t="s">
        <v>18</v>
      </c>
      <c r="G286" t="s">
        <v>13</v>
      </c>
      <c r="H286" t="str">
        <f>"TML TRAINING"</f>
        <v>TML TRAINING</v>
      </c>
      <c r="I286" t="str">
        <f>"DANIEL M TEJADA"</f>
        <v>DANIEL M TEJADA</v>
      </c>
      <c r="J286" s="2">
        <v>169.05</v>
      </c>
    </row>
    <row r="287" spans="1:10" ht="15">
      <c r="A287" t="s">
        <v>93</v>
      </c>
      <c r="B287" t="s">
        <v>11</v>
      </c>
      <c r="C287">
        <v>52636</v>
      </c>
      <c r="D287" s="2">
        <v>153</v>
      </c>
      <c r="E287" s="1">
        <v>42656</v>
      </c>
      <c r="F287" t="s">
        <v>18</v>
      </c>
      <c r="G287" t="s">
        <v>13</v>
      </c>
      <c r="H287" t="str">
        <f>"51134"</f>
        <v>51134</v>
      </c>
      <c r="I287" t="str">
        <f>"SBS ADMINISTRATIVE SERVICES  L"</f>
        <v>SBS ADMINISTRATIVE SERVICES  L</v>
      </c>
      <c r="J287" s="2">
        <v>153</v>
      </c>
    </row>
    <row r="288" spans="1:10" ht="15">
      <c r="A288" t="s">
        <v>51</v>
      </c>
      <c r="B288" t="s">
        <v>11</v>
      </c>
      <c r="C288">
        <v>52637</v>
      </c>
      <c r="D288" s="2">
        <v>1612.98</v>
      </c>
      <c r="E288" s="1">
        <v>42656</v>
      </c>
      <c r="F288" t="s">
        <v>15</v>
      </c>
      <c r="G288" t="s">
        <v>13</v>
      </c>
      <c r="H288" t="str">
        <f>"4"</f>
        <v>4</v>
      </c>
      <c r="I288" t="str">
        <f>"WESTON SERVICES OF TEXAS"</f>
        <v>WESTON SERVICES OF TEXAS</v>
      </c>
      <c r="J288" s="2">
        <v>1612.98</v>
      </c>
    </row>
    <row r="289" spans="1:10" ht="15">
      <c r="A289" t="s">
        <v>51</v>
      </c>
      <c r="B289" t="s">
        <v>11</v>
      </c>
      <c r="C289">
        <v>52637</v>
      </c>
      <c r="D289" s="2">
        <v>1612.98</v>
      </c>
      <c r="E289" s="1">
        <v>42656</v>
      </c>
      <c r="F289" t="s">
        <v>15</v>
      </c>
      <c r="G289" t="s">
        <v>16</v>
      </c>
      <c r="H289" t="str">
        <f>"CHECK"</f>
        <v>CHECK</v>
      </c>
      <c r="I289">
        <f>""</f>
      </c>
      <c r="J289" s="2">
        <v>1612.98</v>
      </c>
    </row>
    <row r="290" spans="1:10" ht="15">
      <c r="A290" t="s">
        <v>94</v>
      </c>
      <c r="B290" t="s">
        <v>11</v>
      </c>
      <c r="C290">
        <v>52638</v>
      </c>
      <c r="D290" s="2">
        <v>60</v>
      </c>
      <c r="E290" s="1">
        <v>42656</v>
      </c>
      <c r="F290" t="s">
        <v>18</v>
      </c>
      <c r="G290" t="s">
        <v>13</v>
      </c>
      <c r="H290" t="str">
        <f>"DUES"</f>
        <v>DUES</v>
      </c>
      <c r="I290" t="str">
        <f>"TEXAS MUNICIPAL COURTS ASSOCIA"</f>
        <v>TEXAS MUNICIPAL COURTS ASSOCIA</v>
      </c>
      <c r="J290" s="2">
        <v>60</v>
      </c>
    </row>
    <row r="291" spans="1:10" ht="15">
      <c r="A291" t="s">
        <v>54</v>
      </c>
      <c r="B291" t="s">
        <v>11</v>
      </c>
      <c r="C291">
        <v>52639</v>
      </c>
      <c r="D291" s="2">
        <v>15967.7</v>
      </c>
      <c r="E291" s="1">
        <v>42656</v>
      </c>
      <c r="F291" t="s">
        <v>18</v>
      </c>
      <c r="G291" t="s">
        <v>13</v>
      </c>
      <c r="H291" t="str">
        <f>"1358"</f>
        <v>1358</v>
      </c>
      <c r="I291" t="s">
        <v>311</v>
      </c>
      <c r="J291" s="2">
        <v>581</v>
      </c>
    </row>
    <row r="292" spans="7:10" ht="15">
      <c r="G292" t="s">
        <v>13</v>
      </c>
      <c r="H292" t="str">
        <f>"1359"</f>
        <v>1359</v>
      </c>
      <c r="I292" t="s">
        <v>311</v>
      </c>
      <c r="J292" s="2">
        <v>492</v>
      </c>
    </row>
    <row r="293" spans="7:10" ht="15">
      <c r="G293" t="s">
        <v>13</v>
      </c>
      <c r="H293" t="str">
        <f>"1360"</f>
        <v>1360</v>
      </c>
      <c r="I293" t="s">
        <v>311</v>
      </c>
      <c r="J293" s="2">
        <v>1258</v>
      </c>
    </row>
    <row r="294" spans="7:10" ht="15">
      <c r="G294" t="s">
        <v>13</v>
      </c>
      <c r="H294" t="str">
        <f>"1361"</f>
        <v>1361</v>
      </c>
      <c r="I294" t="s">
        <v>311</v>
      </c>
      <c r="J294" s="2">
        <v>688</v>
      </c>
    </row>
    <row r="295" spans="7:10" ht="15">
      <c r="G295" t="s">
        <v>13</v>
      </c>
      <c r="H295" t="str">
        <f>"1362"</f>
        <v>1362</v>
      </c>
      <c r="I295" t="s">
        <v>311</v>
      </c>
      <c r="J295" s="2">
        <v>3922</v>
      </c>
    </row>
    <row r="296" spans="7:10" ht="15">
      <c r="G296" t="s">
        <v>13</v>
      </c>
      <c r="H296" t="str">
        <f>"1363"</f>
        <v>1363</v>
      </c>
      <c r="I296" t="s">
        <v>311</v>
      </c>
      <c r="J296" s="2">
        <v>172.5</v>
      </c>
    </row>
    <row r="297" spans="7:10" ht="15">
      <c r="G297" t="s">
        <v>13</v>
      </c>
      <c r="H297" t="str">
        <f>"1365"</f>
        <v>1365</v>
      </c>
      <c r="I297" t="s">
        <v>311</v>
      </c>
      <c r="J297" s="2">
        <v>1038.5</v>
      </c>
    </row>
    <row r="298" spans="7:10" ht="15">
      <c r="G298" t="s">
        <v>13</v>
      </c>
      <c r="H298" t="str">
        <f>"1366"</f>
        <v>1366</v>
      </c>
      <c r="I298" t="s">
        <v>311</v>
      </c>
      <c r="J298" s="2">
        <v>1862.7</v>
      </c>
    </row>
    <row r="299" spans="7:10" ht="15">
      <c r="G299" t="s">
        <v>13</v>
      </c>
      <c r="H299" t="str">
        <f>"1367"</f>
        <v>1367</v>
      </c>
      <c r="I299" t="s">
        <v>311</v>
      </c>
      <c r="J299" s="2">
        <v>1744</v>
      </c>
    </row>
    <row r="300" spans="7:10" ht="15">
      <c r="G300" t="s">
        <v>13</v>
      </c>
      <c r="H300" t="str">
        <f>"1368"</f>
        <v>1368</v>
      </c>
      <c r="I300" t="s">
        <v>311</v>
      </c>
      <c r="J300" s="2">
        <v>1754.5</v>
      </c>
    </row>
    <row r="301" spans="7:10" ht="15">
      <c r="G301" t="s">
        <v>13</v>
      </c>
      <c r="H301" t="str">
        <f>"1369"</f>
        <v>1369</v>
      </c>
      <c r="I301" t="s">
        <v>311</v>
      </c>
      <c r="J301" s="2">
        <v>288</v>
      </c>
    </row>
    <row r="302" spans="7:10" ht="15">
      <c r="G302" t="s">
        <v>13</v>
      </c>
      <c r="H302" t="str">
        <f>"1370"</f>
        <v>1370</v>
      </c>
      <c r="I302" t="s">
        <v>311</v>
      </c>
      <c r="J302" s="2">
        <v>2166.5</v>
      </c>
    </row>
    <row r="303" spans="1:10" ht="15">
      <c r="A303" t="s">
        <v>95</v>
      </c>
      <c r="B303" t="s">
        <v>11</v>
      </c>
      <c r="C303">
        <v>52641</v>
      </c>
      <c r="D303" s="2">
        <v>92</v>
      </c>
      <c r="E303" s="1">
        <v>42656</v>
      </c>
      <c r="F303" t="s">
        <v>18</v>
      </c>
      <c r="G303" t="s">
        <v>13</v>
      </c>
      <c r="H303" t="str">
        <f>"TRAINING"</f>
        <v>TRAINING</v>
      </c>
      <c r="I303" t="str">
        <f>"JESSE EVINS"</f>
        <v>JESSE EVINS</v>
      </c>
      <c r="J303" s="2">
        <v>92</v>
      </c>
    </row>
    <row r="304" spans="1:10" ht="15">
      <c r="A304" t="s">
        <v>96</v>
      </c>
      <c r="B304" t="s">
        <v>11</v>
      </c>
      <c r="C304">
        <v>52642</v>
      </c>
      <c r="D304" s="2">
        <v>180</v>
      </c>
      <c r="E304" s="1">
        <v>42656</v>
      </c>
      <c r="F304" t="s">
        <v>18</v>
      </c>
      <c r="G304" t="s">
        <v>13</v>
      </c>
      <c r="H304" t="str">
        <f>"FORM PRINTING"</f>
        <v>FORM PRINTING</v>
      </c>
      <c r="I304" t="str">
        <f>"UPS"</f>
        <v>UPS</v>
      </c>
      <c r="J304" s="2">
        <v>180</v>
      </c>
    </row>
    <row r="305" spans="1:10" ht="15">
      <c r="A305" t="s">
        <v>97</v>
      </c>
      <c r="B305" t="s">
        <v>11</v>
      </c>
      <c r="C305">
        <v>52643</v>
      </c>
      <c r="D305" s="2">
        <v>100947.83</v>
      </c>
      <c r="E305" s="1">
        <v>42656</v>
      </c>
      <c r="F305" t="s">
        <v>18</v>
      </c>
      <c r="G305" t="s">
        <v>13</v>
      </c>
      <c r="H305" t="str">
        <f>"25043"</f>
        <v>25043</v>
      </c>
      <c r="I305" t="str">
        <f aca="true" t="shared" si="4" ref="I305:I310">"M &amp; S ENGINEERING  LLC"</f>
        <v>M &amp; S ENGINEERING  LLC</v>
      </c>
      <c r="J305" s="2">
        <v>5428.52</v>
      </c>
    </row>
    <row r="306" spans="7:10" ht="15">
      <c r="G306" t="s">
        <v>13</v>
      </c>
      <c r="H306" t="str">
        <f>"25071"</f>
        <v>25071</v>
      </c>
      <c r="I306" t="str">
        <f t="shared" si="4"/>
        <v>M &amp; S ENGINEERING  LLC</v>
      </c>
      <c r="J306" s="2">
        <v>731.25</v>
      </c>
    </row>
    <row r="307" spans="7:10" ht="15">
      <c r="G307" t="s">
        <v>13</v>
      </c>
      <c r="H307" t="str">
        <f>"25072"</f>
        <v>25072</v>
      </c>
      <c r="I307" t="str">
        <f t="shared" si="4"/>
        <v>M &amp; S ENGINEERING  LLC</v>
      </c>
      <c r="J307" s="2">
        <v>16517.5</v>
      </c>
    </row>
    <row r="308" spans="7:10" ht="15">
      <c r="G308" t="s">
        <v>13</v>
      </c>
      <c r="H308" t="str">
        <f>"25093"</f>
        <v>25093</v>
      </c>
      <c r="I308" t="str">
        <f t="shared" si="4"/>
        <v>M &amp; S ENGINEERING  LLC</v>
      </c>
      <c r="J308" s="2">
        <v>303.75</v>
      </c>
    </row>
    <row r="309" spans="7:10" ht="15">
      <c r="G309" t="s">
        <v>13</v>
      </c>
      <c r="H309" t="str">
        <f>"25162"</f>
        <v>25162</v>
      </c>
      <c r="I309" t="str">
        <f t="shared" si="4"/>
        <v>M &amp; S ENGINEERING  LLC</v>
      </c>
      <c r="J309" s="2">
        <v>6632.5</v>
      </c>
    </row>
    <row r="310" spans="7:10" ht="15">
      <c r="G310" t="s">
        <v>13</v>
      </c>
      <c r="H310" t="str">
        <f>"25163"</f>
        <v>25163</v>
      </c>
      <c r="I310" t="str">
        <f t="shared" si="4"/>
        <v>M &amp; S ENGINEERING  LLC</v>
      </c>
      <c r="J310" s="2">
        <v>71334.31</v>
      </c>
    </row>
    <row r="311" spans="1:10" ht="15">
      <c r="A311" t="s">
        <v>63</v>
      </c>
      <c r="B311" t="s">
        <v>11</v>
      </c>
      <c r="C311">
        <v>52644</v>
      </c>
      <c r="D311" s="2">
        <v>2209.66</v>
      </c>
      <c r="E311" s="1">
        <v>42656</v>
      </c>
      <c r="F311" t="s">
        <v>18</v>
      </c>
      <c r="G311" t="s">
        <v>13</v>
      </c>
      <c r="H311" t="str">
        <f>"087499115"</f>
        <v>087499115</v>
      </c>
      <c r="I311" t="str">
        <f aca="true" t="shared" si="5" ref="I311:I318">"CINTAS CORPORATION #087"</f>
        <v>CINTAS CORPORATION #087</v>
      </c>
      <c r="J311" s="2">
        <v>275.24</v>
      </c>
    </row>
    <row r="312" spans="7:10" ht="15">
      <c r="G312" t="s">
        <v>13</v>
      </c>
      <c r="H312" t="str">
        <f>"087503205"</f>
        <v>087503205</v>
      </c>
      <c r="I312" t="str">
        <f t="shared" si="5"/>
        <v>CINTAS CORPORATION #087</v>
      </c>
      <c r="J312" s="2">
        <v>228.36</v>
      </c>
    </row>
    <row r="313" spans="7:10" ht="15">
      <c r="G313" t="s">
        <v>13</v>
      </c>
      <c r="H313" t="str">
        <f>"087507278"</f>
        <v>087507278</v>
      </c>
      <c r="I313" t="str">
        <f t="shared" si="5"/>
        <v>CINTAS CORPORATION #087</v>
      </c>
      <c r="J313" s="2">
        <v>285.43</v>
      </c>
    </row>
    <row r="314" spans="7:10" ht="15">
      <c r="G314" t="s">
        <v>13</v>
      </c>
      <c r="H314" t="str">
        <f>"087511361"</f>
        <v>087511361</v>
      </c>
      <c r="I314" t="str">
        <f t="shared" si="5"/>
        <v>CINTAS CORPORATION #087</v>
      </c>
      <c r="J314" s="2">
        <v>284.16</v>
      </c>
    </row>
    <row r="315" spans="7:10" ht="15">
      <c r="G315" t="s">
        <v>13</v>
      </c>
      <c r="H315" t="str">
        <f>"087515449"</f>
        <v>087515449</v>
      </c>
      <c r="I315" t="str">
        <f t="shared" si="5"/>
        <v>CINTAS CORPORATION #087</v>
      </c>
      <c r="J315" s="2">
        <v>206.96</v>
      </c>
    </row>
    <row r="316" spans="7:10" ht="15">
      <c r="G316" t="s">
        <v>13</v>
      </c>
      <c r="H316" t="str">
        <f>"087523646"</f>
        <v>087523646</v>
      </c>
      <c r="I316" t="str">
        <f t="shared" si="5"/>
        <v>CINTAS CORPORATION #087</v>
      </c>
      <c r="J316" s="2">
        <v>206.96</v>
      </c>
    </row>
    <row r="317" spans="7:10" ht="15">
      <c r="G317" t="s">
        <v>13</v>
      </c>
      <c r="H317" t="str">
        <f>"087527745"</f>
        <v>087527745</v>
      </c>
      <c r="I317" t="str">
        <f t="shared" si="5"/>
        <v>CINTAS CORPORATION #087</v>
      </c>
      <c r="J317" s="2">
        <v>200.65</v>
      </c>
    </row>
    <row r="318" spans="7:10" ht="15">
      <c r="G318" t="s">
        <v>13</v>
      </c>
      <c r="H318" t="str">
        <f>"087531920"</f>
        <v>087531920</v>
      </c>
      <c r="I318" t="str">
        <f t="shared" si="5"/>
        <v>CINTAS CORPORATION #087</v>
      </c>
      <c r="J318" s="2">
        <v>521.9</v>
      </c>
    </row>
    <row r="319" spans="1:10" ht="15">
      <c r="A319" t="s">
        <v>98</v>
      </c>
      <c r="B319" t="s">
        <v>11</v>
      </c>
      <c r="C319">
        <v>52647</v>
      </c>
      <c r="D319" s="2">
        <v>34212.5</v>
      </c>
      <c r="E319" s="1">
        <v>42656</v>
      </c>
      <c r="F319" t="s">
        <v>18</v>
      </c>
      <c r="G319" t="s">
        <v>13</v>
      </c>
      <c r="H319" t="str">
        <f>"10/01/16"</f>
        <v>10/01/16</v>
      </c>
      <c r="I319" t="str">
        <f>"TML INTERGOVERNMENTAL RISK POO"</f>
        <v>TML INTERGOVERNMENTAL RISK POO</v>
      </c>
      <c r="J319" s="2">
        <v>34212.5</v>
      </c>
    </row>
    <row r="320" spans="1:10" ht="15">
      <c r="A320" t="s">
        <v>99</v>
      </c>
      <c r="B320" t="s">
        <v>11</v>
      </c>
      <c r="C320">
        <v>52648</v>
      </c>
      <c r="D320" s="2">
        <v>2500</v>
      </c>
      <c r="E320" s="1">
        <v>42656</v>
      </c>
      <c r="F320" t="s">
        <v>18</v>
      </c>
      <c r="G320" t="s">
        <v>13</v>
      </c>
      <c r="H320" t="str">
        <f>"3194"</f>
        <v>3194</v>
      </c>
      <c r="I320" t="str">
        <f>"LANGFORD COMMUNITY MANAGEMENT"</f>
        <v>LANGFORD COMMUNITY MANAGEMENT</v>
      </c>
      <c r="J320" s="2">
        <v>2500</v>
      </c>
    </row>
    <row r="321" spans="1:10" ht="15">
      <c r="A321" t="s">
        <v>100</v>
      </c>
      <c r="B321" t="s">
        <v>11</v>
      </c>
      <c r="C321">
        <v>52649</v>
      </c>
      <c r="D321" s="2">
        <v>72456.82</v>
      </c>
      <c r="E321" s="1">
        <v>42656</v>
      </c>
      <c r="F321" t="s">
        <v>18</v>
      </c>
      <c r="G321" t="s">
        <v>13</v>
      </c>
      <c r="H321" t="str">
        <f>"0859-001695705"</f>
        <v>0859-001695705</v>
      </c>
      <c r="I321" t="str">
        <f>"REPUBLIC SERVICES #859"</f>
        <v>REPUBLIC SERVICES #859</v>
      </c>
      <c r="J321" s="2">
        <v>72456.82</v>
      </c>
    </row>
    <row r="322" spans="1:10" ht="15">
      <c r="A322" t="s">
        <v>101</v>
      </c>
      <c r="B322" t="s">
        <v>11</v>
      </c>
      <c r="C322">
        <v>52650</v>
      </c>
      <c r="D322" s="2">
        <v>264.95</v>
      </c>
      <c r="E322" s="1">
        <v>42656</v>
      </c>
      <c r="F322" t="s">
        <v>18</v>
      </c>
      <c r="G322" t="s">
        <v>13</v>
      </c>
      <c r="H322" t="str">
        <f>"727244"</f>
        <v>727244</v>
      </c>
      <c r="I322" t="str">
        <f>"A &amp; B COMMUNICATIONS"</f>
        <v>A &amp; B COMMUNICATIONS</v>
      </c>
      <c r="J322" s="2">
        <v>264.95</v>
      </c>
    </row>
    <row r="323" spans="1:10" ht="15">
      <c r="A323" t="s">
        <v>102</v>
      </c>
      <c r="B323" t="s">
        <v>11</v>
      </c>
      <c r="C323">
        <v>52651</v>
      </c>
      <c r="D323" s="2">
        <v>750</v>
      </c>
      <c r="E323" s="1">
        <v>42656</v>
      </c>
      <c r="F323" t="s">
        <v>18</v>
      </c>
      <c r="G323" t="s">
        <v>13</v>
      </c>
      <c r="H323" t="str">
        <f>"1648-20161001-1"</f>
        <v>1648-20161001-1</v>
      </c>
      <c r="I323" t="str">
        <f>"LVWIFI.COM"</f>
        <v>LVWIFI.COM</v>
      </c>
      <c r="J323" s="2">
        <v>750</v>
      </c>
    </row>
    <row r="324" spans="1:10" ht="15">
      <c r="A324" t="s">
        <v>103</v>
      </c>
      <c r="B324" t="s">
        <v>11</v>
      </c>
      <c r="C324">
        <v>52652</v>
      </c>
      <c r="D324" s="2">
        <v>484.15</v>
      </c>
      <c r="E324" s="1">
        <v>42656</v>
      </c>
      <c r="F324" t="s">
        <v>18</v>
      </c>
      <c r="G324" t="s">
        <v>13</v>
      </c>
      <c r="H324" t="str">
        <f>"TRAINING H.M."</f>
        <v>TRAINING H.M.</v>
      </c>
      <c r="I324" t="str">
        <f>"HELEN S. MARTINEZ"</f>
        <v>HELEN S. MARTINEZ</v>
      </c>
      <c r="J324" s="2">
        <v>484.15</v>
      </c>
    </row>
    <row r="325" spans="1:10" ht="15">
      <c r="A325" t="s">
        <v>104</v>
      </c>
      <c r="B325" t="s">
        <v>11</v>
      </c>
      <c r="C325">
        <v>52653</v>
      </c>
      <c r="D325" s="2">
        <v>236.7</v>
      </c>
      <c r="E325" s="1">
        <v>42656</v>
      </c>
      <c r="F325" t="s">
        <v>18</v>
      </c>
      <c r="G325" t="s">
        <v>13</v>
      </c>
      <c r="H325" t="str">
        <f>"A. MARTINEZ 10/16"</f>
        <v>A. MARTINEZ 10/16</v>
      </c>
      <c r="I325" t="str">
        <f>"CITY OF FLORESVILLE -PETTY CAS"</f>
        <v>CITY OF FLORESVILLE -PETTY CAS</v>
      </c>
      <c r="J325" s="2">
        <v>236.7</v>
      </c>
    </row>
    <row r="326" spans="1:10" ht="15">
      <c r="A326" t="s">
        <v>105</v>
      </c>
      <c r="B326" t="s">
        <v>11</v>
      </c>
      <c r="C326">
        <v>52654</v>
      </c>
      <c r="D326" s="2">
        <v>9842.88</v>
      </c>
      <c r="E326" s="1">
        <v>42656</v>
      </c>
      <c r="F326" t="s">
        <v>18</v>
      </c>
      <c r="G326" t="s">
        <v>13</v>
      </c>
      <c r="H326" t="str">
        <f>"1099414"</f>
        <v>1099414</v>
      </c>
      <c r="I326" t="str">
        <f>"STANTEC CONSULTING SERVICES IN"</f>
        <v>STANTEC CONSULTING SERVICES IN</v>
      </c>
      <c r="J326" s="2">
        <v>9842.88</v>
      </c>
    </row>
    <row r="327" spans="1:10" ht="15">
      <c r="A327" t="s">
        <v>106</v>
      </c>
      <c r="B327" t="s">
        <v>11</v>
      </c>
      <c r="C327">
        <v>52655</v>
      </c>
      <c r="D327" s="2">
        <v>155</v>
      </c>
      <c r="E327" s="1">
        <v>42656</v>
      </c>
      <c r="F327" t="s">
        <v>18</v>
      </c>
      <c r="G327" t="s">
        <v>13</v>
      </c>
      <c r="H327" t="str">
        <f>"Reg. Code 31501"</f>
        <v>Reg. Code 31501</v>
      </c>
      <c r="I327" t="str">
        <f>"Office of the Secretary of Sta"</f>
        <v>Office of the Secretary of Sta</v>
      </c>
      <c r="J327" s="2">
        <v>155</v>
      </c>
    </row>
    <row r="328" spans="1:10" ht="15">
      <c r="A328" t="s">
        <v>103</v>
      </c>
      <c r="B328" t="s">
        <v>11</v>
      </c>
      <c r="C328">
        <v>52656</v>
      </c>
      <c r="D328" s="2">
        <v>112.7</v>
      </c>
      <c r="E328" s="1">
        <v>42661</v>
      </c>
      <c r="F328" t="s">
        <v>18</v>
      </c>
      <c r="G328" t="s">
        <v>13</v>
      </c>
      <c r="H328" t="str">
        <f>"10/20/2016"</f>
        <v>10/20/2016</v>
      </c>
      <c r="I328" t="str">
        <f>"HELEN S. MARTINEZ"</f>
        <v>HELEN S. MARTINEZ</v>
      </c>
      <c r="J328" s="2">
        <v>112.7</v>
      </c>
    </row>
    <row r="329" spans="1:10" ht="15">
      <c r="A329" t="s">
        <v>34</v>
      </c>
      <c r="B329" t="s">
        <v>11</v>
      </c>
      <c r="C329">
        <v>52657</v>
      </c>
      <c r="D329" s="2">
        <v>169.65</v>
      </c>
      <c r="E329" s="1">
        <v>42663</v>
      </c>
      <c r="F329" t="s">
        <v>18</v>
      </c>
      <c r="G329" t="s">
        <v>13</v>
      </c>
      <c r="H329" t="str">
        <f>"155236"</f>
        <v>155236</v>
      </c>
      <c r="I329" t="str">
        <f aca="true" t="shared" si="6" ref="I329:I339">"GERALD LUBIANSKI ENTERPRISES"</f>
        <v>GERALD LUBIANSKI ENTERPRISES</v>
      </c>
      <c r="J329" s="2">
        <v>10</v>
      </c>
    </row>
    <row r="330" spans="7:10" ht="15">
      <c r="G330" t="s">
        <v>13</v>
      </c>
      <c r="H330" t="str">
        <f>"155246"</f>
        <v>155246</v>
      </c>
      <c r="I330" t="str">
        <f t="shared" si="6"/>
        <v>GERALD LUBIANSKI ENTERPRISES</v>
      </c>
      <c r="J330" s="2">
        <v>10</v>
      </c>
    </row>
    <row r="331" spans="7:10" ht="15">
      <c r="G331" t="s">
        <v>13</v>
      </c>
      <c r="H331" t="str">
        <f>"155268"</f>
        <v>155268</v>
      </c>
      <c r="I331" t="str">
        <f t="shared" si="6"/>
        <v>GERALD LUBIANSKI ENTERPRISES</v>
      </c>
      <c r="J331" s="2">
        <v>10</v>
      </c>
    </row>
    <row r="332" spans="7:10" ht="15">
      <c r="G332" t="s">
        <v>13</v>
      </c>
      <c r="H332" t="str">
        <f>"155300"</f>
        <v>155300</v>
      </c>
      <c r="I332" t="str">
        <f t="shared" si="6"/>
        <v>GERALD LUBIANSKI ENTERPRISES</v>
      </c>
      <c r="J332" s="2">
        <v>10</v>
      </c>
    </row>
    <row r="333" spans="7:10" ht="15">
      <c r="G333" t="s">
        <v>13</v>
      </c>
      <c r="H333" t="str">
        <f>"155308"</f>
        <v>155308</v>
      </c>
      <c r="I333" t="str">
        <f t="shared" si="6"/>
        <v>GERALD LUBIANSKI ENTERPRISES</v>
      </c>
      <c r="J333" s="2">
        <v>10</v>
      </c>
    </row>
    <row r="334" spans="7:10" ht="15">
      <c r="G334" t="s">
        <v>13</v>
      </c>
      <c r="H334" t="str">
        <f>"155323"</f>
        <v>155323</v>
      </c>
      <c r="I334" t="str">
        <f t="shared" si="6"/>
        <v>GERALD LUBIANSKI ENTERPRISES</v>
      </c>
      <c r="J334" s="2">
        <v>10</v>
      </c>
    </row>
    <row r="335" spans="7:10" ht="15">
      <c r="G335" t="s">
        <v>13</v>
      </c>
      <c r="H335" t="str">
        <f>"155345"</f>
        <v>155345</v>
      </c>
      <c r="I335" t="str">
        <f t="shared" si="6"/>
        <v>GERALD LUBIANSKI ENTERPRISES</v>
      </c>
      <c r="J335" s="2">
        <v>10</v>
      </c>
    </row>
    <row r="336" spans="7:10" ht="15">
      <c r="G336" t="s">
        <v>13</v>
      </c>
      <c r="H336" t="str">
        <f>"155427"</f>
        <v>155427</v>
      </c>
      <c r="I336" t="str">
        <f t="shared" si="6"/>
        <v>GERALD LUBIANSKI ENTERPRISES</v>
      </c>
      <c r="J336" s="2">
        <v>10</v>
      </c>
    </row>
    <row r="337" spans="7:10" ht="15">
      <c r="G337" t="s">
        <v>13</v>
      </c>
      <c r="H337" t="str">
        <f>"155470"</f>
        <v>155470</v>
      </c>
      <c r="I337" t="str">
        <f t="shared" si="6"/>
        <v>GERALD LUBIANSKI ENTERPRISES</v>
      </c>
      <c r="J337" s="2">
        <v>35.9</v>
      </c>
    </row>
    <row r="338" spans="7:10" ht="15">
      <c r="G338" t="s">
        <v>13</v>
      </c>
      <c r="H338" t="str">
        <f>"155473"</f>
        <v>155473</v>
      </c>
      <c r="I338" t="str">
        <f t="shared" si="6"/>
        <v>GERALD LUBIANSKI ENTERPRISES</v>
      </c>
      <c r="J338" s="2">
        <v>10</v>
      </c>
    </row>
    <row r="339" spans="7:10" ht="15">
      <c r="G339" t="s">
        <v>13</v>
      </c>
      <c r="H339" t="str">
        <f>"155501"</f>
        <v>155501</v>
      </c>
      <c r="I339" t="str">
        <f t="shared" si="6"/>
        <v>GERALD LUBIANSKI ENTERPRISES</v>
      </c>
      <c r="J339" s="2">
        <v>43.75</v>
      </c>
    </row>
    <row r="340" spans="1:10" ht="15">
      <c r="A340" t="s">
        <v>107</v>
      </c>
      <c r="B340" t="s">
        <v>11</v>
      </c>
      <c r="C340">
        <v>52659</v>
      </c>
      <c r="D340" s="2">
        <v>156.12</v>
      </c>
      <c r="E340" s="1">
        <v>42663</v>
      </c>
      <c r="F340" t="s">
        <v>18</v>
      </c>
      <c r="G340" t="s">
        <v>13</v>
      </c>
      <c r="H340" t="str">
        <f>"201610187724"</f>
        <v>201610187724</v>
      </c>
      <c r="I340" t="str">
        <f>"CENTERPOINT ENERGY ENTEX"</f>
        <v>CENTERPOINT ENERGY ENTEX</v>
      </c>
      <c r="J340" s="2">
        <v>36.99</v>
      </c>
    </row>
    <row r="341" spans="7:10" ht="15">
      <c r="G341" t="s">
        <v>13</v>
      </c>
      <c r="H341" t="str">
        <f>"201610187725"</f>
        <v>201610187725</v>
      </c>
      <c r="I341" t="str">
        <f>"CENTERPOINT ENERGY ENTEX"</f>
        <v>CENTERPOINT ENERGY ENTEX</v>
      </c>
      <c r="J341" s="2">
        <v>36.99</v>
      </c>
    </row>
    <row r="342" spans="7:10" ht="15">
      <c r="G342" t="s">
        <v>13</v>
      </c>
      <c r="H342" t="str">
        <f>"201610187726"</f>
        <v>201610187726</v>
      </c>
      <c r="I342" t="str">
        <f>"CENTERPOINT ENERGY ENTEX"</f>
        <v>CENTERPOINT ENERGY ENTEX</v>
      </c>
      <c r="J342" s="2">
        <v>41.43</v>
      </c>
    </row>
    <row r="343" spans="7:10" ht="15">
      <c r="G343" t="s">
        <v>13</v>
      </c>
      <c r="H343" t="str">
        <f>"201610187727"</f>
        <v>201610187727</v>
      </c>
      <c r="I343" t="str">
        <f>"CENTERPOINT ENERGY ENTEX"</f>
        <v>CENTERPOINT ENERGY ENTEX</v>
      </c>
      <c r="J343" s="2">
        <v>40.71</v>
      </c>
    </row>
    <row r="344" spans="1:10" ht="15">
      <c r="A344" t="s">
        <v>35</v>
      </c>
      <c r="B344" t="s">
        <v>11</v>
      </c>
      <c r="C344">
        <v>52660</v>
      </c>
      <c r="D344" s="2">
        <v>10053.68</v>
      </c>
      <c r="E344" s="1">
        <v>42663</v>
      </c>
      <c r="F344" t="s">
        <v>18</v>
      </c>
      <c r="G344" t="s">
        <v>13</v>
      </c>
      <c r="H344" t="str">
        <f>"10/03/2016"</f>
        <v>10/03/2016</v>
      </c>
      <c r="I344" t="str">
        <f>"F.E.L.P.S."</f>
        <v>F.E.L.P.S.</v>
      </c>
      <c r="J344" s="2">
        <v>7542.45</v>
      </c>
    </row>
    <row r="345" spans="7:10" ht="15">
      <c r="G345" t="s">
        <v>13</v>
      </c>
      <c r="H345" t="str">
        <f>"10/12/16"</f>
        <v>10/12/16</v>
      </c>
      <c r="I345" t="str">
        <f>"F.E.L.P.S."</f>
        <v>F.E.L.P.S.</v>
      </c>
      <c r="J345" s="2">
        <v>2511.23</v>
      </c>
    </row>
    <row r="346" spans="1:10" ht="15">
      <c r="A346" t="s">
        <v>108</v>
      </c>
      <c r="B346" t="s">
        <v>11</v>
      </c>
      <c r="C346">
        <v>52663</v>
      </c>
      <c r="D346" s="2">
        <v>1860.55</v>
      </c>
      <c r="E346" s="1">
        <v>42663</v>
      </c>
      <c r="F346" t="s">
        <v>18</v>
      </c>
      <c r="G346" t="s">
        <v>13</v>
      </c>
      <c r="H346" t="str">
        <f>"066989"</f>
        <v>066989</v>
      </c>
      <c r="I346" t="str">
        <f>"HART INTERCIVIC"</f>
        <v>HART INTERCIVIC</v>
      </c>
      <c r="J346" s="2">
        <v>1860.55</v>
      </c>
    </row>
    <row r="347" spans="1:10" ht="15">
      <c r="A347" t="s">
        <v>109</v>
      </c>
      <c r="B347" t="s">
        <v>11</v>
      </c>
      <c r="C347">
        <v>52664</v>
      </c>
      <c r="D347" s="2">
        <v>841.53</v>
      </c>
      <c r="E347" s="1">
        <v>42663</v>
      </c>
      <c r="F347" t="s">
        <v>18</v>
      </c>
      <c r="G347" t="s">
        <v>13</v>
      </c>
      <c r="H347" t="str">
        <f>"1224370914"</f>
        <v>1224370914</v>
      </c>
      <c r="I347" t="str">
        <f>"WILSON COUNTY NEWS"</f>
        <v>WILSON COUNTY NEWS</v>
      </c>
      <c r="J347" s="2">
        <v>534.9</v>
      </c>
    </row>
    <row r="348" spans="7:10" ht="15">
      <c r="G348" t="s">
        <v>13</v>
      </c>
      <c r="H348" t="str">
        <f>"1225990921"</f>
        <v>1225990921</v>
      </c>
      <c r="I348" t="str">
        <f>"WILSON COUNTY NEWS"</f>
        <v>WILSON COUNTY NEWS</v>
      </c>
      <c r="J348" s="2">
        <v>18.6</v>
      </c>
    </row>
    <row r="349" spans="7:10" ht="15">
      <c r="G349" t="s">
        <v>13</v>
      </c>
      <c r="H349" t="str">
        <f>"1225990928"</f>
        <v>1225990928</v>
      </c>
      <c r="I349" t="str">
        <f>"WILSON COUNTY NEWS"</f>
        <v>WILSON COUNTY NEWS</v>
      </c>
      <c r="J349" s="2">
        <v>18.6</v>
      </c>
    </row>
    <row r="350" spans="7:10" ht="15">
      <c r="G350" t="s">
        <v>13</v>
      </c>
      <c r="H350" t="str">
        <f>"1227480928"</f>
        <v>1227480928</v>
      </c>
      <c r="I350" t="str">
        <f>"WILSON COUNTY NEWS"</f>
        <v>WILSON COUNTY NEWS</v>
      </c>
      <c r="J350" s="2">
        <v>269.43</v>
      </c>
    </row>
    <row r="351" spans="1:10" ht="15">
      <c r="A351" t="s">
        <v>110</v>
      </c>
      <c r="B351" t="s">
        <v>11</v>
      </c>
      <c r="C351">
        <v>52665</v>
      </c>
      <c r="D351" s="2">
        <v>85</v>
      </c>
      <c r="E351" s="1">
        <v>42663</v>
      </c>
      <c r="F351" t="s">
        <v>18</v>
      </c>
      <c r="G351" t="s">
        <v>13</v>
      </c>
      <c r="H351" t="str">
        <f>"9505"</f>
        <v>9505</v>
      </c>
      <c r="I351" t="str">
        <f>"HILL PEST CONTROL COMPANY"</f>
        <v>HILL PEST CONTROL COMPANY</v>
      </c>
      <c r="J351" s="2">
        <v>85</v>
      </c>
    </row>
    <row r="352" spans="1:10" ht="15">
      <c r="A352" t="s">
        <v>38</v>
      </c>
      <c r="B352" t="s">
        <v>11</v>
      </c>
      <c r="C352">
        <v>52666</v>
      </c>
      <c r="D352" s="2">
        <v>7256.28</v>
      </c>
      <c r="E352" s="1">
        <v>42663</v>
      </c>
      <c r="F352" t="s">
        <v>18</v>
      </c>
      <c r="G352" t="s">
        <v>13</v>
      </c>
      <c r="H352" t="str">
        <f>"0818649"</f>
        <v>0818649</v>
      </c>
      <c r="I352" t="str">
        <f>"FERGUSON WATERWORKS - MUNICIPA"</f>
        <v>FERGUSON WATERWORKS - MUNICIPA</v>
      </c>
      <c r="J352" s="2">
        <v>2244.5</v>
      </c>
    </row>
    <row r="353" spans="7:10" ht="15">
      <c r="G353" t="s">
        <v>13</v>
      </c>
      <c r="H353" t="str">
        <f>"0818812"</f>
        <v>0818812</v>
      </c>
      <c r="I353" t="str">
        <f>"FERGUSON WATERWORKS - MUNICIPA"</f>
        <v>FERGUSON WATERWORKS - MUNICIPA</v>
      </c>
      <c r="J353" s="2">
        <v>717.48</v>
      </c>
    </row>
    <row r="354" spans="7:10" ht="15">
      <c r="G354" t="s">
        <v>13</v>
      </c>
      <c r="H354" t="str">
        <f>"0819645"</f>
        <v>0819645</v>
      </c>
      <c r="I354" t="str">
        <f>"FERGUSON WATERWORKS - MUNICIPA"</f>
        <v>FERGUSON WATERWORKS - MUNICIPA</v>
      </c>
      <c r="J354" s="2">
        <v>1894.3</v>
      </c>
    </row>
    <row r="355" spans="7:10" ht="15">
      <c r="G355" t="s">
        <v>13</v>
      </c>
      <c r="H355" t="str">
        <f>"0820224"</f>
        <v>0820224</v>
      </c>
      <c r="I355" t="str">
        <f>"FERGUSON WATERWORKS - MUNICIPA"</f>
        <v>FERGUSON WATERWORKS - MUNICIPA</v>
      </c>
      <c r="J355" s="2">
        <v>2400</v>
      </c>
    </row>
    <row r="356" spans="1:10" ht="15">
      <c r="A356" t="s">
        <v>39</v>
      </c>
      <c r="B356" t="s">
        <v>11</v>
      </c>
      <c r="C356">
        <v>52667</v>
      </c>
      <c r="D356" s="2">
        <v>14</v>
      </c>
      <c r="E356" s="1">
        <v>42663</v>
      </c>
      <c r="F356" t="s">
        <v>18</v>
      </c>
      <c r="G356" t="s">
        <v>13</v>
      </c>
      <c r="H356" t="str">
        <f>"238549"</f>
        <v>238549</v>
      </c>
      <c r="I356" t="str">
        <f>"LUBE WORKS"</f>
        <v>LUBE WORKS</v>
      </c>
      <c r="J356" s="2">
        <v>7</v>
      </c>
    </row>
    <row r="357" spans="7:10" ht="15">
      <c r="G357" t="s">
        <v>13</v>
      </c>
      <c r="H357" t="str">
        <f>"238770"</f>
        <v>238770</v>
      </c>
      <c r="I357" t="str">
        <f>"LUBE WORKS"</f>
        <v>LUBE WORKS</v>
      </c>
      <c r="J357" s="2">
        <v>7</v>
      </c>
    </row>
    <row r="358" spans="1:10" ht="15">
      <c r="A358" t="s">
        <v>111</v>
      </c>
      <c r="B358" t="s">
        <v>11</v>
      </c>
      <c r="C358">
        <v>52668</v>
      </c>
      <c r="D358" s="2">
        <v>132</v>
      </c>
      <c r="E358" s="1">
        <v>42663</v>
      </c>
      <c r="F358" t="s">
        <v>18</v>
      </c>
      <c r="G358" t="s">
        <v>13</v>
      </c>
      <c r="H358" t="str">
        <f>"OBS16200507"</f>
        <v>OBS16200507</v>
      </c>
      <c r="I358" t="str">
        <f>"OMNIBASE SERVICES OF TEXAS"</f>
        <v>OMNIBASE SERVICES OF TEXAS</v>
      </c>
      <c r="J358" s="2">
        <v>132</v>
      </c>
    </row>
    <row r="359" spans="1:10" ht="15">
      <c r="A359" t="s">
        <v>43</v>
      </c>
      <c r="B359" t="s">
        <v>11</v>
      </c>
      <c r="C359">
        <v>52669</v>
      </c>
      <c r="D359" s="2">
        <v>54.9</v>
      </c>
      <c r="E359" s="1">
        <v>42663</v>
      </c>
      <c r="F359" t="s">
        <v>18</v>
      </c>
      <c r="G359" t="s">
        <v>13</v>
      </c>
      <c r="H359" t="str">
        <f>"101098"</f>
        <v>101098</v>
      </c>
      <c r="I359" t="str">
        <f>"DITTMAR LUMBER CO."</f>
        <v>DITTMAR LUMBER CO.</v>
      </c>
      <c r="J359" s="2">
        <v>9.95</v>
      </c>
    </row>
    <row r="360" spans="7:10" ht="15">
      <c r="G360" t="s">
        <v>13</v>
      </c>
      <c r="H360" t="str">
        <f>"101589"</f>
        <v>101589</v>
      </c>
      <c r="I360" t="str">
        <f>"DITTMAR LUMBER CO."</f>
        <v>DITTMAR LUMBER CO.</v>
      </c>
      <c r="J360" s="2">
        <v>17.17</v>
      </c>
    </row>
    <row r="361" spans="7:10" ht="15">
      <c r="G361" t="s">
        <v>13</v>
      </c>
      <c r="H361" t="str">
        <f>"103344"</f>
        <v>103344</v>
      </c>
      <c r="I361" t="str">
        <f>"DITTMAR LUMBER CO."</f>
        <v>DITTMAR LUMBER CO.</v>
      </c>
      <c r="J361" s="2">
        <v>27.78</v>
      </c>
    </row>
    <row r="362" spans="1:10" ht="15">
      <c r="A362" t="s">
        <v>44</v>
      </c>
      <c r="B362" t="s">
        <v>11</v>
      </c>
      <c r="C362">
        <v>52670</v>
      </c>
      <c r="D362" s="2">
        <v>461</v>
      </c>
      <c r="E362" s="1">
        <v>42663</v>
      </c>
      <c r="F362" t="s">
        <v>15</v>
      </c>
      <c r="G362" t="s">
        <v>13</v>
      </c>
      <c r="H362" t="str">
        <f>"928226"</f>
        <v>928226</v>
      </c>
      <c r="I362" t="str">
        <f>"USA BLUEBOOK"</f>
        <v>USA BLUEBOOK</v>
      </c>
      <c r="J362" s="2">
        <v>461</v>
      </c>
    </row>
    <row r="363" spans="1:10" ht="15">
      <c r="A363" t="s">
        <v>44</v>
      </c>
      <c r="B363" t="s">
        <v>11</v>
      </c>
      <c r="C363">
        <v>52670</v>
      </c>
      <c r="D363" s="2">
        <v>461</v>
      </c>
      <c r="E363" s="1">
        <v>42663</v>
      </c>
      <c r="F363" t="s">
        <v>15</v>
      </c>
      <c r="G363" t="s">
        <v>16</v>
      </c>
      <c r="H363" t="str">
        <f>"CHECK"</f>
        <v>CHECK</v>
      </c>
      <c r="I363">
        <f>""</f>
      </c>
      <c r="J363" s="2">
        <v>461</v>
      </c>
    </row>
    <row r="364" spans="1:10" ht="15">
      <c r="A364" t="s">
        <v>112</v>
      </c>
      <c r="B364" t="s">
        <v>11</v>
      </c>
      <c r="C364">
        <v>52671</v>
      </c>
      <c r="D364" s="2">
        <v>136</v>
      </c>
      <c r="E364" s="1">
        <v>42663</v>
      </c>
      <c r="F364" t="s">
        <v>18</v>
      </c>
      <c r="G364" t="s">
        <v>13</v>
      </c>
      <c r="H364" t="str">
        <f>"COURT REFUND"</f>
        <v>COURT REFUND</v>
      </c>
      <c r="I364" t="str">
        <f>"COURT REF"</f>
        <v>COURT REF</v>
      </c>
      <c r="J364" s="2">
        <v>136</v>
      </c>
    </row>
    <row r="365" spans="1:10" ht="15">
      <c r="A365" t="s">
        <v>113</v>
      </c>
      <c r="B365" t="s">
        <v>11</v>
      </c>
      <c r="C365">
        <v>52672</v>
      </c>
      <c r="D365" s="2">
        <v>400</v>
      </c>
      <c r="E365" s="1">
        <v>42663</v>
      </c>
      <c r="F365" t="s">
        <v>18</v>
      </c>
      <c r="G365" t="s">
        <v>13</v>
      </c>
      <c r="H365" t="str">
        <f>"14-0276"</f>
        <v>14-0276</v>
      </c>
      <c r="I365" t="str">
        <f>"POLLOK &amp; SONS SURVEYING INC."</f>
        <v>POLLOK &amp; SONS SURVEYING INC.</v>
      </c>
      <c r="J365" s="2">
        <v>400</v>
      </c>
    </row>
    <row r="366" spans="1:10" ht="15">
      <c r="A366" t="s">
        <v>48</v>
      </c>
      <c r="B366" t="s">
        <v>11</v>
      </c>
      <c r="C366">
        <v>52673</v>
      </c>
      <c r="D366" s="2">
        <v>17.57</v>
      </c>
      <c r="E366" s="1">
        <v>42663</v>
      </c>
      <c r="F366" t="s">
        <v>18</v>
      </c>
      <c r="G366" t="s">
        <v>13</v>
      </c>
      <c r="H366" t="str">
        <f>"3547751107"</f>
        <v>3547751107</v>
      </c>
      <c r="I366" t="str">
        <f>"AUTOZONE"</f>
        <v>AUTOZONE</v>
      </c>
      <c r="J366" s="2">
        <v>17.57</v>
      </c>
    </row>
    <row r="367" spans="1:10" ht="15">
      <c r="A367" t="s">
        <v>114</v>
      </c>
      <c r="B367" t="s">
        <v>11</v>
      </c>
      <c r="C367">
        <v>52674</v>
      </c>
      <c r="D367" s="2">
        <v>15</v>
      </c>
      <c r="E367" s="1">
        <v>42663</v>
      </c>
      <c r="F367" t="s">
        <v>18</v>
      </c>
      <c r="G367" t="s">
        <v>13</v>
      </c>
      <c r="H367" t="str">
        <f>"489437"</f>
        <v>489437</v>
      </c>
      <c r="I367" t="str">
        <f>"SMITH GAS COMPANY  INC."</f>
        <v>SMITH GAS COMPANY  INC.</v>
      </c>
      <c r="J367" s="2">
        <v>15</v>
      </c>
    </row>
    <row r="368" spans="1:10" ht="15">
      <c r="A368" t="s">
        <v>52</v>
      </c>
      <c r="B368" t="s">
        <v>11</v>
      </c>
      <c r="C368">
        <v>52675</v>
      </c>
      <c r="D368" s="2">
        <v>340</v>
      </c>
      <c r="E368" s="1">
        <v>42663</v>
      </c>
      <c r="F368" t="s">
        <v>18</v>
      </c>
      <c r="G368" t="s">
        <v>13</v>
      </c>
      <c r="H368" t="str">
        <f>"47681"</f>
        <v>47681</v>
      </c>
      <c r="I368" t="str">
        <f>"LOPEZ EXTERMINATING SERVICE  I"</f>
        <v>LOPEZ EXTERMINATING SERVICE  I</v>
      </c>
      <c r="J368" s="2">
        <v>340</v>
      </c>
    </row>
    <row r="369" spans="1:10" ht="15">
      <c r="A369" t="s">
        <v>55</v>
      </c>
      <c r="B369" t="s">
        <v>11</v>
      </c>
      <c r="C369">
        <v>52676</v>
      </c>
      <c r="D369" s="2">
        <v>38.19</v>
      </c>
      <c r="E369" s="1">
        <v>42663</v>
      </c>
      <c r="F369" t="s">
        <v>18</v>
      </c>
      <c r="G369" t="s">
        <v>13</v>
      </c>
      <c r="H369" t="str">
        <f>"26140"</f>
        <v>26140</v>
      </c>
      <c r="I369" t="str">
        <f>"PRUSKI'S TIRE SHOP  L.L.C."</f>
        <v>PRUSKI'S TIRE SHOP  L.L.C.</v>
      </c>
      <c r="J369" s="2">
        <v>38.19</v>
      </c>
    </row>
    <row r="370" spans="1:10" ht="15">
      <c r="A370" t="s">
        <v>115</v>
      </c>
      <c r="B370" t="s">
        <v>11</v>
      </c>
      <c r="C370">
        <v>52677</v>
      </c>
      <c r="D370" s="2">
        <v>1765.95</v>
      </c>
      <c r="E370" s="1">
        <v>42663</v>
      </c>
      <c r="F370" t="s">
        <v>18</v>
      </c>
      <c r="G370" t="s">
        <v>13</v>
      </c>
      <c r="H370" t="str">
        <f>"69904071"</f>
        <v>69904071</v>
      </c>
      <c r="I370" t="str">
        <f>"VERIZON BUSINESS"</f>
        <v>VERIZON BUSINESS</v>
      </c>
      <c r="J370" s="2">
        <v>971.71</v>
      </c>
    </row>
    <row r="371" spans="7:10" ht="15">
      <c r="G371" t="s">
        <v>13</v>
      </c>
      <c r="H371" t="str">
        <f>"69904073"</f>
        <v>69904073</v>
      </c>
      <c r="I371" t="str">
        <f>"VERIZON BUSINESS"</f>
        <v>VERIZON BUSINESS</v>
      </c>
      <c r="J371" s="2">
        <v>794.24</v>
      </c>
    </row>
    <row r="372" spans="1:10" ht="15">
      <c r="A372" t="s">
        <v>56</v>
      </c>
      <c r="B372" t="s">
        <v>11</v>
      </c>
      <c r="C372">
        <v>52678</v>
      </c>
      <c r="D372" s="2">
        <v>400</v>
      </c>
      <c r="E372" s="1">
        <v>42663</v>
      </c>
      <c r="F372" t="s">
        <v>18</v>
      </c>
      <c r="G372" t="s">
        <v>13</v>
      </c>
      <c r="H372" t="str">
        <f>"0348532-IN"</f>
        <v>0348532-IN</v>
      </c>
      <c r="I372" t="str">
        <f>"SOUTHWASTE DISPOSAL  LLP"</f>
        <v>SOUTHWASTE DISPOSAL  LLP</v>
      </c>
      <c r="J372" s="2">
        <v>100</v>
      </c>
    </row>
    <row r="373" spans="7:10" ht="15">
      <c r="G373" t="s">
        <v>13</v>
      </c>
      <c r="H373" t="str">
        <f>"0349784-IN"</f>
        <v>0349784-IN</v>
      </c>
      <c r="I373" t="str">
        <f>"SOUTHWASTE DISPOSAL  LLP"</f>
        <v>SOUTHWASTE DISPOSAL  LLP</v>
      </c>
      <c r="J373" s="2">
        <v>300</v>
      </c>
    </row>
    <row r="374" spans="1:10" ht="15">
      <c r="A374" t="s">
        <v>59</v>
      </c>
      <c r="B374" t="s">
        <v>11</v>
      </c>
      <c r="C374">
        <v>52679</v>
      </c>
      <c r="D374" s="2">
        <v>136.45</v>
      </c>
      <c r="E374" s="1">
        <v>42663</v>
      </c>
      <c r="F374" t="s">
        <v>18</v>
      </c>
      <c r="G374" t="s">
        <v>13</v>
      </c>
      <c r="H374" t="str">
        <f>"3376659"</f>
        <v>3376659</v>
      </c>
      <c r="I374" t="str">
        <f>"EWALD TRACTOR SUPPLY"</f>
        <v>EWALD TRACTOR SUPPLY</v>
      </c>
      <c r="J374" s="2">
        <v>69.75</v>
      </c>
    </row>
    <row r="375" spans="7:10" ht="15">
      <c r="G375" t="s">
        <v>13</v>
      </c>
      <c r="H375" t="str">
        <f>"3376884"</f>
        <v>3376884</v>
      </c>
      <c r="I375" t="str">
        <f>"EWALD TRACTOR SUPPLY"</f>
        <v>EWALD TRACTOR SUPPLY</v>
      </c>
      <c r="J375" s="2">
        <v>66.7</v>
      </c>
    </row>
    <row r="376" spans="1:10" ht="15">
      <c r="A376" t="s">
        <v>116</v>
      </c>
      <c r="B376" t="s">
        <v>11</v>
      </c>
      <c r="C376">
        <v>52680</v>
      </c>
      <c r="D376" s="2">
        <v>72.95</v>
      </c>
      <c r="E376" s="1">
        <v>42663</v>
      </c>
      <c r="F376" t="s">
        <v>18</v>
      </c>
      <c r="G376" t="s">
        <v>13</v>
      </c>
      <c r="H376" t="str">
        <f>"A897184"</f>
        <v>A897184</v>
      </c>
      <c r="I376" t="str">
        <f>"TEXAS WIRED MUSIC  INC."</f>
        <v>TEXAS WIRED MUSIC  INC.</v>
      </c>
      <c r="J376" s="2">
        <v>72.95</v>
      </c>
    </row>
    <row r="377" spans="1:10" ht="15">
      <c r="A377" t="s">
        <v>64</v>
      </c>
      <c r="B377" t="s">
        <v>11</v>
      </c>
      <c r="C377">
        <v>52681</v>
      </c>
      <c r="D377" s="2">
        <v>8</v>
      </c>
      <c r="E377" s="1">
        <v>42663</v>
      </c>
      <c r="F377" t="s">
        <v>18</v>
      </c>
      <c r="G377" t="s">
        <v>13</v>
      </c>
      <c r="H377" t="str">
        <f>"474634"</f>
        <v>474634</v>
      </c>
      <c r="I377" t="str">
        <f>"VILLA TIRES"</f>
        <v>VILLA TIRES</v>
      </c>
      <c r="J377" s="2">
        <v>8</v>
      </c>
    </row>
    <row r="378" spans="1:10" ht="15">
      <c r="A378" t="s">
        <v>67</v>
      </c>
      <c r="B378" t="s">
        <v>11</v>
      </c>
      <c r="C378">
        <v>52682</v>
      </c>
      <c r="D378" s="2">
        <v>270</v>
      </c>
      <c r="E378" s="1">
        <v>42663</v>
      </c>
      <c r="F378" t="s">
        <v>18</v>
      </c>
      <c r="G378" t="s">
        <v>13</v>
      </c>
      <c r="H378" t="str">
        <f>"10/18/2016"</f>
        <v>10/18/2016</v>
      </c>
      <c r="I378" t="s">
        <v>314</v>
      </c>
      <c r="J378" s="2">
        <v>270</v>
      </c>
    </row>
    <row r="379" spans="1:10" ht="15">
      <c r="A379" t="s">
        <v>117</v>
      </c>
      <c r="B379" t="s">
        <v>11</v>
      </c>
      <c r="C379">
        <v>52683</v>
      </c>
      <c r="D379" s="2">
        <v>31500</v>
      </c>
      <c r="E379" s="1">
        <v>42663</v>
      </c>
      <c r="F379" t="s">
        <v>18</v>
      </c>
      <c r="G379" t="s">
        <v>13</v>
      </c>
      <c r="H379" t="str">
        <f>"10/16-9/17"</f>
        <v>10/16-9/17</v>
      </c>
      <c r="I379" t="str">
        <f>"WILSON COUNTY EMS"</f>
        <v>WILSON COUNTY EMS</v>
      </c>
      <c r="J379" s="2">
        <v>31500</v>
      </c>
    </row>
    <row r="380" spans="1:10" ht="15">
      <c r="A380" t="s">
        <v>118</v>
      </c>
      <c r="B380" t="s">
        <v>11</v>
      </c>
      <c r="C380">
        <v>52684</v>
      </c>
      <c r="D380" s="2">
        <v>17.98</v>
      </c>
      <c r="E380" s="1">
        <v>42663</v>
      </c>
      <c r="F380" t="s">
        <v>18</v>
      </c>
      <c r="G380" t="s">
        <v>13</v>
      </c>
      <c r="H380" t="str">
        <f>"201610187728"</f>
        <v>201610187728</v>
      </c>
      <c r="I380" t="str">
        <f>"TRACTOR SUPPLY CREDIT PLAN"</f>
        <v>TRACTOR SUPPLY CREDIT PLAN</v>
      </c>
      <c r="J380" s="2">
        <v>17.98</v>
      </c>
    </row>
    <row r="381" spans="1:10" ht="15">
      <c r="A381" t="s">
        <v>119</v>
      </c>
      <c r="B381" t="s">
        <v>11</v>
      </c>
      <c r="C381">
        <v>52685</v>
      </c>
      <c r="D381" s="2">
        <v>2506.48</v>
      </c>
      <c r="E381" s="1">
        <v>42663</v>
      </c>
      <c r="F381" t="s">
        <v>18</v>
      </c>
      <c r="G381" t="s">
        <v>13</v>
      </c>
      <c r="H381" t="str">
        <f>"857001809-16"</f>
        <v>857001809-16</v>
      </c>
      <c r="I381" t="str">
        <f aca="true" t="shared" si="7" ref="I381:I386">"DPC INDUSTRIES  INC."</f>
        <v>DPC INDUSTRIES  INC.</v>
      </c>
      <c r="J381" s="2">
        <v>517.6</v>
      </c>
    </row>
    <row r="382" spans="7:10" ht="15">
      <c r="G382" t="s">
        <v>13</v>
      </c>
      <c r="H382" t="str">
        <f>"857001920-16"</f>
        <v>857001920-16</v>
      </c>
      <c r="I382" t="str">
        <f t="shared" si="7"/>
        <v>DPC INDUSTRIES  INC.</v>
      </c>
      <c r="J382" s="2">
        <v>419.84</v>
      </c>
    </row>
    <row r="383" spans="7:10" ht="15">
      <c r="G383" t="s">
        <v>13</v>
      </c>
      <c r="H383" t="str">
        <f>"857001977-16"</f>
        <v>857001977-16</v>
      </c>
      <c r="I383" t="str">
        <f t="shared" si="7"/>
        <v>DPC INDUSTRIES  INC.</v>
      </c>
      <c r="J383" s="2">
        <v>517.6</v>
      </c>
    </row>
    <row r="384" spans="7:10" ht="15">
      <c r="G384" t="s">
        <v>13</v>
      </c>
      <c r="H384" t="str">
        <f>"857001978-16"</f>
        <v>857001978-16</v>
      </c>
      <c r="I384" t="str">
        <f t="shared" si="7"/>
        <v>DPC INDUSTRIES  INC.</v>
      </c>
      <c r="J384" s="2">
        <v>721.44</v>
      </c>
    </row>
    <row r="385" spans="7:10" ht="15">
      <c r="G385" t="s">
        <v>13</v>
      </c>
      <c r="H385" t="str">
        <f>"DE85002165-16"</f>
        <v>DE85002165-16</v>
      </c>
      <c r="I385" t="str">
        <f t="shared" si="7"/>
        <v>DPC INDUSTRIES  INC.</v>
      </c>
      <c r="J385" s="2">
        <v>200</v>
      </c>
    </row>
    <row r="386" spans="7:10" ht="15">
      <c r="G386" t="s">
        <v>13</v>
      </c>
      <c r="H386" t="str">
        <f>"DE85002407-16"</f>
        <v>DE85002407-16</v>
      </c>
      <c r="I386" t="str">
        <f t="shared" si="7"/>
        <v>DPC INDUSTRIES  INC.</v>
      </c>
      <c r="J386" s="2">
        <v>130</v>
      </c>
    </row>
    <row r="387" spans="1:10" ht="15">
      <c r="A387" t="s">
        <v>120</v>
      </c>
      <c r="B387" t="s">
        <v>11</v>
      </c>
      <c r="C387">
        <v>52686</v>
      </c>
      <c r="D387" s="2">
        <v>237.08</v>
      </c>
      <c r="E387" s="1">
        <v>42663</v>
      </c>
      <c r="F387" t="s">
        <v>18</v>
      </c>
      <c r="G387" t="s">
        <v>13</v>
      </c>
      <c r="H387" t="str">
        <f>"11136425"</f>
        <v>11136425</v>
      </c>
      <c r="I387" t="str">
        <f>"MCCOY'S CORPORATION"</f>
        <v>MCCOY'S CORPORATION</v>
      </c>
      <c r="J387" s="2">
        <v>237.08</v>
      </c>
    </row>
    <row r="388" spans="1:10" ht="15">
      <c r="A388" t="s">
        <v>100</v>
      </c>
      <c r="B388" t="s">
        <v>11</v>
      </c>
      <c r="C388">
        <v>52687</v>
      </c>
      <c r="D388" s="2">
        <v>3324.85</v>
      </c>
      <c r="E388" s="1">
        <v>42663</v>
      </c>
      <c r="F388" t="s">
        <v>18</v>
      </c>
      <c r="G388" t="s">
        <v>13</v>
      </c>
      <c r="H388" t="str">
        <f>"0859-001653275"</f>
        <v>0859-001653275</v>
      </c>
      <c r="I388" t="str">
        <f>"REPUBLIC SERVICES #859"</f>
        <v>REPUBLIC SERVICES #859</v>
      </c>
      <c r="J388" s="2">
        <v>435.19</v>
      </c>
    </row>
    <row r="389" spans="7:10" ht="15">
      <c r="G389" t="s">
        <v>13</v>
      </c>
      <c r="H389" t="str">
        <f>"0859-001692162"</f>
        <v>0859-001692162</v>
      </c>
      <c r="I389" t="str">
        <f>"REPUBLIC SERVICES #859"</f>
        <v>REPUBLIC SERVICES #859</v>
      </c>
      <c r="J389" s="2">
        <v>2889.66</v>
      </c>
    </row>
    <row r="390" spans="1:10" ht="15">
      <c r="A390" t="s">
        <v>121</v>
      </c>
      <c r="B390" t="s">
        <v>11</v>
      </c>
      <c r="C390">
        <v>52688</v>
      </c>
      <c r="D390" s="2">
        <v>510.8</v>
      </c>
      <c r="E390" s="1">
        <v>42663</v>
      </c>
      <c r="F390" t="s">
        <v>18</v>
      </c>
      <c r="G390" t="s">
        <v>13</v>
      </c>
      <c r="H390" t="str">
        <f>"TRAVEL 10/25"</f>
        <v>TRAVEL 10/25</v>
      </c>
      <c r="I390" t="s">
        <v>316</v>
      </c>
      <c r="J390" s="2">
        <v>510.8</v>
      </c>
    </row>
    <row r="391" spans="1:10" ht="15">
      <c r="A391" t="s">
        <v>122</v>
      </c>
      <c r="B391" t="s">
        <v>11</v>
      </c>
      <c r="C391">
        <v>52689</v>
      </c>
      <c r="D391" s="2">
        <v>127.52</v>
      </c>
      <c r="E391" s="1">
        <v>42663</v>
      </c>
      <c r="F391" t="s">
        <v>18</v>
      </c>
      <c r="G391" t="s">
        <v>13</v>
      </c>
      <c r="H391" t="str">
        <f>"P08457"</f>
        <v>P08457</v>
      </c>
      <c r="I391" t="str">
        <f>"AG-PRO COMPANIES"</f>
        <v>AG-PRO COMPANIES</v>
      </c>
      <c r="J391" s="2">
        <v>127.52</v>
      </c>
    </row>
    <row r="392" spans="1:10" ht="15">
      <c r="A392" t="s">
        <v>123</v>
      </c>
      <c r="B392" t="s">
        <v>11</v>
      </c>
      <c r="C392">
        <v>52690</v>
      </c>
      <c r="D392" s="2">
        <v>2409.62</v>
      </c>
      <c r="E392" s="1">
        <v>42663</v>
      </c>
      <c r="F392" t="s">
        <v>18</v>
      </c>
      <c r="G392" t="s">
        <v>13</v>
      </c>
      <c r="H392" t="str">
        <f>"51614198"</f>
        <v>51614198</v>
      </c>
      <c r="I392" t="str">
        <f>"DE LAGE LANDEN PUBLIC FINANCE"</f>
        <v>DE LAGE LANDEN PUBLIC FINANCE</v>
      </c>
      <c r="J392" s="2">
        <v>222.23</v>
      </c>
    </row>
    <row r="393" spans="7:10" ht="15">
      <c r="G393" t="s">
        <v>13</v>
      </c>
      <c r="H393" t="str">
        <f>"51614199"</f>
        <v>51614199</v>
      </c>
      <c r="I393" t="str">
        <f>"DE LAGE LANDEN PUBLIC FINANCE"</f>
        <v>DE LAGE LANDEN PUBLIC FINANCE</v>
      </c>
      <c r="J393" s="2">
        <v>96.79</v>
      </c>
    </row>
    <row r="394" spans="7:10" ht="15">
      <c r="G394" t="s">
        <v>13</v>
      </c>
      <c r="H394" t="str">
        <f>"51614205"</f>
        <v>51614205</v>
      </c>
      <c r="I394" t="str">
        <f>"DE LAGE LANDEN PUBLIC FINANCE"</f>
        <v>DE LAGE LANDEN PUBLIC FINANCE</v>
      </c>
      <c r="J394" s="2">
        <v>2090.6</v>
      </c>
    </row>
    <row r="395" spans="1:10" ht="15">
      <c r="A395" t="s">
        <v>124</v>
      </c>
      <c r="B395" t="s">
        <v>11</v>
      </c>
      <c r="C395">
        <v>52692</v>
      </c>
      <c r="D395" s="2">
        <v>71.74</v>
      </c>
      <c r="E395" s="1">
        <v>42663</v>
      </c>
      <c r="F395" t="s">
        <v>15</v>
      </c>
      <c r="G395" t="s">
        <v>13</v>
      </c>
      <c r="H395" t="str">
        <f>"5816"</f>
        <v>5816</v>
      </c>
      <c r="I395" t="str">
        <f>"CASARES SAND PIT &amp; TRUCKING  I"</f>
        <v>CASARES SAND PIT &amp; TRUCKING  I</v>
      </c>
      <c r="J395" s="2">
        <v>24.47</v>
      </c>
    </row>
    <row r="396" spans="7:10" ht="15">
      <c r="G396" t="s">
        <v>13</v>
      </c>
      <c r="H396" t="str">
        <f>"5817"</f>
        <v>5817</v>
      </c>
      <c r="I396" t="str">
        <f>"CASARES SAND PIT &amp; TRUCKING  I"</f>
        <v>CASARES SAND PIT &amp; TRUCKING  I</v>
      </c>
      <c r="J396" s="2">
        <v>23.45</v>
      </c>
    </row>
    <row r="397" spans="7:10" ht="15">
      <c r="G397" t="s">
        <v>13</v>
      </c>
      <c r="H397" t="str">
        <f>"5818"</f>
        <v>5818</v>
      </c>
      <c r="I397" t="str">
        <f>"CASARES SAND PIT &amp; TRUCKING  I"</f>
        <v>CASARES SAND PIT &amp; TRUCKING  I</v>
      </c>
      <c r="J397" s="2">
        <v>23.82</v>
      </c>
    </row>
    <row r="398" spans="1:10" ht="15">
      <c r="A398" t="s">
        <v>124</v>
      </c>
      <c r="B398" t="s">
        <v>11</v>
      </c>
      <c r="C398">
        <v>52692</v>
      </c>
      <c r="D398" s="2">
        <v>71.74</v>
      </c>
      <c r="E398" s="1">
        <v>42663</v>
      </c>
      <c r="F398" t="s">
        <v>15</v>
      </c>
      <c r="G398" t="s">
        <v>16</v>
      </c>
      <c r="H398" t="str">
        <f>"CHECK"</f>
        <v>CHECK</v>
      </c>
      <c r="I398">
        <f>""</f>
      </c>
      <c r="J398" s="2">
        <v>71.74</v>
      </c>
    </row>
    <row r="399" spans="1:10" ht="15">
      <c r="A399" t="s">
        <v>77</v>
      </c>
      <c r="B399" t="s">
        <v>11</v>
      </c>
      <c r="C399">
        <v>52693</v>
      </c>
      <c r="D399" s="2">
        <v>127.1</v>
      </c>
      <c r="E399" s="1">
        <v>42663</v>
      </c>
      <c r="F399" t="s">
        <v>18</v>
      </c>
      <c r="G399" t="s">
        <v>13</v>
      </c>
      <c r="H399" t="str">
        <f>"011172"</f>
        <v>011172</v>
      </c>
      <c r="I399" t="str">
        <f>"R &amp; S TEXAS PARTS CO"</f>
        <v>R &amp; S TEXAS PARTS CO</v>
      </c>
      <c r="J399" s="2">
        <v>111.12</v>
      </c>
    </row>
    <row r="400" spans="7:10" ht="15">
      <c r="G400" t="s">
        <v>13</v>
      </c>
      <c r="H400" t="str">
        <f>"011173"</f>
        <v>011173</v>
      </c>
      <c r="I400" t="str">
        <f>"R &amp; S TEXAS PARTS CO"</f>
        <v>R &amp; S TEXAS PARTS CO</v>
      </c>
      <c r="J400" s="2">
        <v>12</v>
      </c>
    </row>
    <row r="401" spans="7:10" ht="15">
      <c r="G401" t="s">
        <v>13</v>
      </c>
      <c r="H401" t="str">
        <f>"011190"</f>
        <v>011190</v>
      </c>
      <c r="I401" t="str">
        <f>"R &amp; S TEXAS PARTS CO"</f>
        <v>R &amp; S TEXAS PARTS CO</v>
      </c>
      <c r="J401" s="2">
        <v>3.98</v>
      </c>
    </row>
    <row r="402" spans="1:10" ht="15">
      <c r="A402" t="s">
        <v>125</v>
      </c>
      <c r="B402" t="s">
        <v>11</v>
      </c>
      <c r="C402">
        <v>52694</v>
      </c>
      <c r="D402" s="2">
        <v>2933.55</v>
      </c>
      <c r="E402" s="1">
        <v>42663</v>
      </c>
      <c r="F402" t="s">
        <v>18</v>
      </c>
      <c r="G402" t="s">
        <v>13</v>
      </c>
      <c r="H402" t="str">
        <f>"1609064"</f>
        <v>1609064</v>
      </c>
      <c r="I402" t="str">
        <f>"K FRIESE &amp; ASSOCIATES  INC."</f>
        <v>K FRIESE &amp; ASSOCIATES  INC.</v>
      </c>
      <c r="J402" s="2">
        <v>2933.55</v>
      </c>
    </row>
    <row r="403" spans="1:10" ht="15">
      <c r="A403" t="s">
        <v>81</v>
      </c>
      <c r="B403" t="s">
        <v>11</v>
      </c>
      <c r="C403">
        <v>52695</v>
      </c>
      <c r="D403" s="2">
        <v>232.7</v>
      </c>
      <c r="E403" s="1">
        <v>42663</v>
      </c>
      <c r="F403" t="s">
        <v>18</v>
      </c>
      <c r="G403" t="s">
        <v>13</v>
      </c>
      <c r="H403" t="str">
        <f>"201610187719"</f>
        <v>201610187719</v>
      </c>
      <c r="I403" t="str">
        <f>"FRONTIER"</f>
        <v>FRONTIER</v>
      </c>
      <c r="J403" s="2">
        <v>50.3</v>
      </c>
    </row>
    <row r="404" spans="7:10" ht="15">
      <c r="G404" t="s">
        <v>13</v>
      </c>
      <c r="H404" t="str">
        <f>"201610187720"</f>
        <v>201610187720</v>
      </c>
      <c r="I404" t="str">
        <f>"FRONTIER"</f>
        <v>FRONTIER</v>
      </c>
      <c r="J404" s="2">
        <v>34.55</v>
      </c>
    </row>
    <row r="405" spans="7:10" ht="15">
      <c r="G405" t="s">
        <v>13</v>
      </c>
      <c r="H405" t="str">
        <f>"201610187721"</f>
        <v>201610187721</v>
      </c>
      <c r="I405" t="str">
        <f>"FRONTIER"</f>
        <v>FRONTIER</v>
      </c>
      <c r="J405" s="2">
        <v>74.32</v>
      </c>
    </row>
    <row r="406" spans="7:10" ht="15">
      <c r="G406" t="s">
        <v>13</v>
      </c>
      <c r="H406" t="str">
        <f>"201610187722"</f>
        <v>201610187722</v>
      </c>
      <c r="I406" t="str">
        <f>"FRONTIER"</f>
        <v>FRONTIER</v>
      </c>
      <c r="J406" s="2">
        <v>73.53</v>
      </c>
    </row>
    <row r="407" spans="1:10" ht="15">
      <c r="A407" t="s">
        <v>126</v>
      </c>
      <c r="B407" t="s">
        <v>11</v>
      </c>
      <c r="C407">
        <v>52696</v>
      </c>
      <c r="D407" s="2">
        <v>50</v>
      </c>
      <c r="E407" s="1">
        <v>42663</v>
      </c>
      <c r="F407" t="s">
        <v>18</v>
      </c>
      <c r="G407" t="s">
        <v>13</v>
      </c>
      <c r="H407" t="str">
        <f>"10/17/2016"</f>
        <v>10/17/2016</v>
      </c>
      <c r="I407" t="str">
        <f>"SHIRLEY UNDERWOOD"</f>
        <v>SHIRLEY UNDERWOOD</v>
      </c>
      <c r="J407" s="2">
        <v>50</v>
      </c>
    </row>
    <row r="408" spans="1:10" ht="15">
      <c r="A408" t="s">
        <v>127</v>
      </c>
      <c r="B408" t="s">
        <v>11</v>
      </c>
      <c r="C408">
        <v>52697</v>
      </c>
      <c r="D408" s="2">
        <v>1250</v>
      </c>
      <c r="E408" s="1">
        <v>42663</v>
      </c>
      <c r="F408" t="s">
        <v>18</v>
      </c>
      <c r="G408" t="s">
        <v>13</v>
      </c>
      <c r="H408" t="str">
        <f>"4766389"</f>
        <v>4766389</v>
      </c>
      <c r="I408" t="str">
        <f>"SINCLAIR BROADCAST GROUP"</f>
        <v>SINCLAIR BROADCAST GROUP</v>
      </c>
      <c r="J408" s="2">
        <v>1250</v>
      </c>
    </row>
    <row r="409" spans="1:10" ht="15">
      <c r="A409" t="s">
        <v>128</v>
      </c>
      <c r="B409" t="s">
        <v>11</v>
      </c>
      <c r="C409">
        <v>52698</v>
      </c>
      <c r="D409" s="2">
        <v>28500</v>
      </c>
      <c r="E409" s="1">
        <v>42663</v>
      </c>
      <c r="F409" t="s">
        <v>18</v>
      </c>
      <c r="G409" t="s">
        <v>13</v>
      </c>
      <c r="H409" t="str">
        <f>"BLDG DEPOSIT"</f>
        <v>BLDG DEPOSIT</v>
      </c>
      <c r="I409" t="str">
        <f>"HOSS"</f>
        <v>HOSS</v>
      </c>
      <c r="J409" s="2">
        <v>28500</v>
      </c>
    </row>
    <row r="410" spans="1:10" ht="15">
      <c r="A410" t="s">
        <v>129</v>
      </c>
      <c r="B410" t="s">
        <v>11</v>
      </c>
      <c r="C410">
        <v>52699</v>
      </c>
      <c r="D410" s="2">
        <v>83.07</v>
      </c>
      <c r="E410" s="1">
        <v>42663</v>
      </c>
      <c r="F410" t="s">
        <v>18</v>
      </c>
      <c r="G410" t="s">
        <v>13</v>
      </c>
      <c r="H410" t="str">
        <f>"201610207729"</f>
        <v>201610207729</v>
      </c>
      <c r="I410" t="str">
        <f>"LOWE'S"</f>
        <v>LOWE'S</v>
      </c>
      <c r="J410" s="2">
        <v>83.07</v>
      </c>
    </row>
    <row r="411" spans="1:10" ht="15">
      <c r="A411" t="s">
        <v>104</v>
      </c>
      <c r="B411" t="s">
        <v>11</v>
      </c>
      <c r="C411">
        <v>52700</v>
      </c>
      <c r="D411" s="2">
        <v>155</v>
      </c>
      <c r="E411" s="1">
        <v>42668</v>
      </c>
      <c r="F411" t="s">
        <v>18</v>
      </c>
      <c r="G411" t="s">
        <v>13</v>
      </c>
      <c r="H411" t="str">
        <f>"201610257730"</f>
        <v>201610257730</v>
      </c>
      <c r="I411" t="str">
        <f>"CITY OF FLORESVILLE -PETTY CAS"</f>
        <v>CITY OF FLORESVILLE -PETTY CAS</v>
      </c>
      <c r="J411" s="2">
        <v>155</v>
      </c>
    </row>
    <row r="412" spans="1:10" ht="15">
      <c r="A412" t="s">
        <v>130</v>
      </c>
      <c r="B412" t="s">
        <v>11</v>
      </c>
      <c r="C412">
        <v>52701</v>
      </c>
      <c r="D412" s="2">
        <v>966.78</v>
      </c>
      <c r="E412" s="1">
        <v>42668</v>
      </c>
      <c r="F412" t="s">
        <v>18</v>
      </c>
      <c r="G412" t="s">
        <v>13</v>
      </c>
      <c r="H412" t="str">
        <f>"10/25/16"</f>
        <v>10/25/16</v>
      </c>
      <c r="I412" t="str">
        <f>"FLORESVILLE POST OFFICE"</f>
        <v>FLORESVILLE POST OFFICE</v>
      </c>
      <c r="J412" s="2">
        <v>966.78</v>
      </c>
    </row>
    <row r="413" spans="1:10" ht="15">
      <c r="A413" t="s">
        <v>29</v>
      </c>
      <c r="B413" t="s">
        <v>11</v>
      </c>
      <c r="C413">
        <v>52709</v>
      </c>
      <c r="D413" s="2">
        <v>290.9</v>
      </c>
      <c r="E413" s="1">
        <v>42669</v>
      </c>
      <c r="F413" t="s">
        <v>18</v>
      </c>
      <c r="G413" t="s">
        <v>13</v>
      </c>
      <c r="H413" t="str">
        <f>"CLE201610267731"</f>
        <v>CLE201610267731</v>
      </c>
      <c r="I413" t="str">
        <f>"CLEAT ONLY DUES"</f>
        <v>CLEAT ONLY DUES</v>
      </c>
      <c r="J413" s="2">
        <v>13.85</v>
      </c>
    </row>
    <row r="414" spans="7:10" ht="15">
      <c r="G414" t="s">
        <v>13</v>
      </c>
      <c r="H414" t="str">
        <f>"PDD201610267731"</f>
        <v>PDD201610267731</v>
      </c>
      <c r="I414" t="str">
        <f>"POLICE OFFICERS ASSOC DUES"</f>
        <v>POLICE OFFICERS ASSOC DUES</v>
      </c>
      <c r="J414" s="2">
        <v>277.05</v>
      </c>
    </row>
    <row r="415" spans="1:10" ht="15">
      <c r="A415" t="s">
        <v>30</v>
      </c>
      <c r="B415" t="s">
        <v>11</v>
      </c>
      <c r="C415">
        <v>52710</v>
      </c>
      <c r="D415" s="2">
        <v>1200.46</v>
      </c>
      <c r="E415" s="1">
        <v>42669</v>
      </c>
      <c r="F415" t="s">
        <v>18</v>
      </c>
      <c r="G415" t="s">
        <v>13</v>
      </c>
      <c r="H415" t="str">
        <f>"CPS201610267731"</f>
        <v>CPS201610267731</v>
      </c>
      <c r="I415" t="str">
        <f>"G MENDOZA 00123012032010EM5054"</f>
        <v>G MENDOZA 00123012032010EM5054</v>
      </c>
      <c r="J415" s="2">
        <v>11.54</v>
      </c>
    </row>
    <row r="416" spans="7:10" ht="15">
      <c r="G416" t="s">
        <v>13</v>
      </c>
      <c r="H416" t="str">
        <f>"CS 201610267731"</f>
        <v>CS 201610267731</v>
      </c>
      <c r="I416" t="str">
        <f>"CAUSE#98EM504113 PEGGY RIVAS"</f>
        <v>CAUSE#98EM504113 PEGGY RIVAS</v>
      </c>
      <c r="J416" s="2">
        <v>294.46</v>
      </c>
    </row>
    <row r="417" spans="7:10" ht="15">
      <c r="G417" t="s">
        <v>13</v>
      </c>
      <c r="H417" t="str">
        <f>"CS1201610267731"</f>
        <v>CS1201610267731</v>
      </c>
      <c r="I417" t="str">
        <f>"CAUSE# 10008CVW DEBRA ESQUEDA"</f>
        <v>CAUSE# 10008CVW DEBRA ESQUEDA</v>
      </c>
      <c r="J417" s="2">
        <v>234.46</v>
      </c>
    </row>
    <row r="418" spans="7:10" ht="15">
      <c r="G418" t="s">
        <v>13</v>
      </c>
      <c r="H418" t="str">
        <f>"CSJ201610267731"</f>
        <v>CSJ201610267731</v>
      </c>
      <c r="I418" t="str">
        <f>"CAUSE# 0010185272 MARIANN GUTI"</f>
        <v>CAUSE# 0010185272 MARIANN GUTI</v>
      </c>
      <c r="J418" s="2">
        <v>325.38</v>
      </c>
    </row>
    <row r="419" spans="7:10" ht="15">
      <c r="G419" t="s">
        <v>13</v>
      </c>
      <c r="H419" t="str">
        <f>"CST201610267731"</f>
        <v>CST201610267731</v>
      </c>
      <c r="I419" t="str">
        <f>"CAUSE #0009418917 SONIA PEREZ"</f>
        <v>CAUSE #0009418917 SONIA PEREZ</v>
      </c>
      <c r="J419" s="2">
        <v>334.62</v>
      </c>
    </row>
    <row r="420" spans="1:10" ht="15">
      <c r="A420" t="s">
        <v>31</v>
      </c>
      <c r="B420" t="s">
        <v>11</v>
      </c>
      <c r="C420">
        <v>52711</v>
      </c>
      <c r="D420" s="2">
        <v>147.7</v>
      </c>
      <c r="E420" s="1">
        <v>42669</v>
      </c>
      <c r="F420" t="s">
        <v>18</v>
      </c>
      <c r="G420" t="s">
        <v>13</v>
      </c>
      <c r="H420" t="str">
        <f>"BNK201610267731"</f>
        <v>BNK201610267731</v>
      </c>
      <c r="I420" t="str">
        <f>"CHAPTER 13  CASE NO. 1152669"</f>
        <v>CHAPTER 13  CASE NO. 1152669</v>
      </c>
      <c r="J420" s="2">
        <v>147.7</v>
      </c>
    </row>
    <row r="421" spans="1:10" ht="15">
      <c r="A421" t="s">
        <v>32</v>
      </c>
      <c r="B421" t="s">
        <v>11</v>
      </c>
      <c r="C421">
        <v>52712</v>
      </c>
      <c r="D421" s="2">
        <v>99.1</v>
      </c>
      <c r="E421" s="1">
        <v>42669</v>
      </c>
      <c r="F421" t="s">
        <v>18</v>
      </c>
      <c r="G421" t="s">
        <v>13</v>
      </c>
      <c r="H421" t="str">
        <f>"MCO201610267731"</f>
        <v>MCO201610267731</v>
      </c>
      <c r="I421" t="s">
        <v>313</v>
      </c>
      <c r="J421" s="2">
        <v>99.1</v>
      </c>
    </row>
    <row r="422" spans="1:10" ht="15">
      <c r="A422" t="s">
        <v>33</v>
      </c>
      <c r="B422" t="s">
        <v>11</v>
      </c>
      <c r="C422">
        <v>52713</v>
      </c>
      <c r="D422" s="2">
        <v>749</v>
      </c>
      <c r="E422" s="1">
        <v>42669</v>
      </c>
      <c r="F422" t="s">
        <v>18</v>
      </c>
      <c r="G422" t="s">
        <v>13</v>
      </c>
      <c r="H422" t="str">
        <f>"457201610267731"</f>
        <v>457201610267731</v>
      </c>
      <c r="I422" t="str">
        <f>"CASE # 180-60751 457B DEDUCT"</f>
        <v>CASE # 180-60751 457B DEDUCT</v>
      </c>
      <c r="J422" s="2">
        <v>749</v>
      </c>
    </row>
    <row r="423" spans="1:10" ht="15">
      <c r="A423" t="s">
        <v>104</v>
      </c>
      <c r="B423" t="s">
        <v>11</v>
      </c>
      <c r="C423">
        <v>52714</v>
      </c>
      <c r="D423" s="2">
        <v>191.33</v>
      </c>
      <c r="E423" s="1">
        <v>42670</v>
      </c>
      <c r="F423" t="s">
        <v>18</v>
      </c>
      <c r="G423" t="s">
        <v>13</v>
      </c>
      <c r="H423" t="str">
        <f>"201610277732"</f>
        <v>201610277732</v>
      </c>
      <c r="I423" t="str">
        <f>"CITY OF FLORESVILLE -PETTY CAS"</f>
        <v>CITY OF FLORESVILLE -PETTY CAS</v>
      </c>
      <c r="J423" s="2">
        <v>191.33</v>
      </c>
    </row>
    <row r="424" spans="1:10" ht="15">
      <c r="A424" t="s">
        <v>131</v>
      </c>
      <c r="B424" t="s">
        <v>11</v>
      </c>
      <c r="C424">
        <v>52715</v>
      </c>
      <c r="D424" s="2">
        <v>70</v>
      </c>
      <c r="E424" s="1">
        <v>42670</v>
      </c>
      <c r="F424" t="s">
        <v>18</v>
      </c>
      <c r="G424" t="s">
        <v>13</v>
      </c>
      <c r="H424" t="str">
        <f>"10/21/16"</f>
        <v>10/21/16</v>
      </c>
      <c r="I424" t="str">
        <f>"DEBORAH KORCZYK"</f>
        <v>DEBORAH KORCZYK</v>
      </c>
      <c r="J424" s="2">
        <v>70</v>
      </c>
    </row>
    <row r="425" spans="1:10" ht="15">
      <c r="A425" t="s">
        <v>126</v>
      </c>
      <c r="B425" t="s">
        <v>11</v>
      </c>
      <c r="C425">
        <v>52716</v>
      </c>
      <c r="D425" s="2">
        <v>145</v>
      </c>
      <c r="E425" s="1">
        <v>42670</v>
      </c>
      <c r="F425" t="s">
        <v>18</v>
      </c>
      <c r="G425" t="s">
        <v>13</v>
      </c>
      <c r="H425" t="str">
        <f>"10/20-10/21"</f>
        <v>10/20-10/21</v>
      </c>
      <c r="I425" t="str">
        <f>"SHIRLEY UNDERWOOD"</f>
        <v>SHIRLEY UNDERWOOD</v>
      </c>
      <c r="J425" s="2">
        <v>80</v>
      </c>
    </row>
    <row r="426" spans="7:10" ht="15">
      <c r="G426" t="s">
        <v>13</v>
      </c>
      <c r="H426" t="str">
        <f>"10/22/16"</f>
        <v>10/22/16</v>
      </c>
      <c r="I426" t="str">
        <f>"SHIRLEY UNDERWOOD"</f>
        <v>SHIRLEY UNDERWOOD</v>
      </c>
      <c r="J426" s="2">
        <v>25</v>
      </c>
    </row>
    <row r="427" spans="7:10" ht="15">
      <c r="G427" t="s">
        <v>13</v>
      </c>
      <c r="H427" t="str">
        <f>"9/30"</f>
        <v>9/30</v>
      </c>
      <c r="I427" t="str">
        <f>"SHIRLEY UNDERWOOD"</f>
        <v>SHIRLEY UNDERWOOD</v>
      </c>
      <c r="J427" s="2">
        <v>40</v>
      </c>
    </row>
    <row r="428" spans="1:10" ht="15">
      <c r="A428" t="s">
        <v>132</v>
      </c>
      <c r="B428" t="s">
        <v>11</v>
      </c>
      <c r="C428">
        <v>52717</v>
      </c>
      <c r="D428" s="2">
        <v>3572.2</v>
      </c>
      <c r="E428" s="1">
        <v>42670</v>
      </c>
      <c r="F428" t="s">
        <v>18</v>
      </c>
      <c r="G428" t="s">
        <v>13</v>
      </c>
      <c r="H428" t="str">
        <f>"INVOICE 2"</f>
        <v>INVOICE 2</v>
      </c>
      <c r="I428" t="str">
        <f>"DEBRA J. DOCKERY"</f>
        <v>DEBRA J. DOCKERY</v>
      </c>
      <c r="J428" s="2">
        <v>3572.2</v>
      </c>
    </row>
    <row r="429" spans="1:10" ht="15">
      <c r="A429" t="s">
        <v>133</v>
      </c>
      <c r="B429" t="s">
        <v>11</v>
      </c>
      <c r="C429">
        <v>52718</v>
      </c>
      <c r="D429" s="2">
        <v>40</v>
      </c>
      <c r="E429" s="1">
        <v>42670</v>
      </c>
      <c r="F429" t="s">
        <v>18</v>
      </c>
      <c r="G429" t="s">
        <v>13</v>
      </c>
      <c r="H429" t="str">
        <f>"TRAINING R.C."</f>
        <v>TRAINING R.C.</v>
      </c>
      <c r="I429" t="str">
        <f>"TRAINING"</f>
        <v>TRAINING</v>
      </c>
      <c r="J429" s="2">
        <v>40</v>
      </c>
    </row>
    <row r="430" spans="1:10" ht="15">
      <c r="A430" t="s">
        <v>134</v>
      </c>
      <c r="B430" t="s">
        <v>11</v>
      </c>
      <c r="C430">
        <v>52719</v>
      </c>
      <c r="D430" s="2">
        <v>40</v>
      </c>
      <c r="E430" s="1">
        <v>42670</v>
      </c>
      <c r="F430" t="s">
        <v>15</v>
      </c>
      <c r="G430" t="s">
        <v>13</v>
      </c>
      <c r="H430" t="str">
        <f>"TRAINING REIM"</f>
        <v>TRAINING REIM</v>
      </c>
      <c r="I430" t="str">
        <f>"TRAINING REIMBUR"</f>
        <v>TRAINING REIMBUR</v>
      </c>
      <c r="J430" s="2">
        <v>40</v>
      </c>
    </row>
    <row r="431" spans="1:10" ht="15">
      <c r="A431" t="s">
        <v>135</v>
      </c>
      <c r="B431" t="s">
        <v>11</v>
      </c>
      <c r="C431">
        <v>52719</v>
      </c>
      <c r="D431" s="2">
        <v>40</v>
      </c>
      <c r="E431" s="1">
        <v>42670</v>
      </c>
      <c r="F431" t="s">
        <v>15</v>
      </c>
      <c r="G431" t="s">
        <v>16</v>
      </c>
      <c r="H431" t="str">
        <f>"CHECK"</f>
        <v>CHECK</v>
      </c>
      <c r="I431">
        <f>""</f>
      </c>
      <c r="J431" s="2">
        <v>40</v>
      </c>
    </row>
    <row r="432" spans="1:10" ht="15">
      <c r="A432" t="s">
        <v>128</v>
      </c>
      <c r="B432" t="s">
        <v>11</v>
      </c>
      <c r="C432">
        <v>52720</v>
      </c>
      <c r="D432" s="2">
        <v>60000</v>
      </c>
      <c r="E432" s="1">
        <v>42674</v>
      </c>
      <c r="F432" t="s">
        <v>18</v>
      </c>
      <c r="G432" t="s">
        <v>13</v>
      </c>
      <c r="H432" t="str">
        <f>"10108"</f>
        <v>10108</v>
      </c>
      <c r="I432" t="str">
        <f>"HOSS"</f>
        <v>HOSS</v>
      </c>
      <c r="J432" s="2">
        <v>60000</v>
      </c>
    </row>
    <row r="433" spans="1:10" ht="15">
      <c r="A433" t="s">
        <v>136</v>
      </c>
      <c r="B433" t="s">
        <v>11</v>
      </c>
      <c r="C433">
        <v>52721</v>
      </c>
      <c r="D433" s="2">
        <v>2199.67</v>
      </c>
      <c r="E433" s="1">
        <v>42676</v>
      </c>
      <c r="F433" t="s">
        <v>18</v>
      </c>
      <c r="G433" t="s">
        <v>13</v>
      </c>
      <c r="H433" t="str">
        <f>"LIGHTING"</f>
        <v>LIGHTING</v>
      </c>
      <c r="I433" t="str">
        <f>"FLORESVILLE CHAMBER OF COMMERC"</f>
        <v>FLORESVILLE CHAMBER OF COMMERC</v>
      </c>
      <c r="J433" s="2">
        <v>2199.67</v>
      </c>
    </row>
    <row r="434" spans="1:10" ht="15">
      <c r="A434" t="s">
        <v>85</v>
      </c>
      <c r="B434" t="s">
        <v>11</v>
      </c>
      <c r="C434">
        <v>52722</v>
      </c>
      <c r="D434" s="2">
        <v>75</v>
      </c>
      <c r="E434" s="1">
        <v>42676</v>
      </c>
      <c r="F434" t="s">
        <v>18</v>
      </c>
      <c r="G434" t="s">
        <v>13</v>
      </c>
      <c r="H434" t="str">
        <f>"11/2016-COUNCIL"</f>
        <v>11/2016-COUNCIL</v>
      </c>
      <c r="I434">
        <f>""</f>
      </c>
      <c r="J434" s="2">
        <v>75</v>
      </c>
    </row>
    <row r="435" spans="1:10" ht="15">
      <c r="A435" t="s">
        <v>86</v>
      </c>
      <c r="B435" t="s">
        <v>11</v>
      </c>
      <c r="C435">
        <v>52723</v>
      </c>
      <c r="D435" s="2">
        <v>75</v>
      </c>
      <c r="E435" s="1">
        <v>42676</v>
      </c>
      <c r="F435" t="s">
        <v>18</v>
      </c>
      <c r="G435" t="s">
        <v>13</v>
      </c>
      <c r="H435" t="str">
        <f>"11/2016-COUNCIL"</f>
        <v>11/2016-COUNCIL</v>
      </c>
      <c r="I435">
        <f>""</f>
      </c>
      <c r="J435" s="2">
        <v>75</v>
      </c>
    </row>
    <row r="436" spans="1:10" ht="15">
      <c r="A436" t="s">
        <v>87</v>
      </c>
      <c r="B436" t="s">
        <v>11</v>
      </c>
      <c r="C436">
        <v>52724</v>
      </c>
      <c r="D436" s="2">
        <v>100</v>
      </c>
      <c r="E436" s="1">
        <v>42676</v>
      </c>
      <c r="F436" t="s">
        <v>18</v>
      </c>
      <c r="G436" t="s">
        <v>13</v>
      </c>
      <c r="H436" t="str">
        <f>"11/2016-MAYOR"</f>
        <v>11/2016-MAYOR</v>
      </c>
      <c r="I436">
        <f>""</f>
      </c>
      <c r="J436" s="2">
        <v>100</v>
      </c>
    </row>
    <row r="437" spans="1:10" ht="15">
      <c r="A437" t="s">
        <v>88</v>
      </c>
      <c r="B437" t="s">
        <v>11</v>
      </c>
      <c r="C437">
        <v>52725</v>
      </c>
      <c r="D437" s="2">
        <v>75</v>
      </c>
      <c r="E437" s="1">
        <v>42676</v>
      </c>
      <c r="F437" t="s">
        <v>18</v>
      </c>
      <c r="G437" t="s">
        <v>13</v>
      </c>
      <c r="H437" t="str">
        <f>"11/2016-COUNCIL"</f>
        <v>11/2016-COUNCIL</v>
      </c>
      <c r="I437">
        <f>""</f>
      </c>
      <c r="J437" s="2">
        <v>75</v>
      </c>
    </row>
    <row r="438" spans="1:10" ht="15">
      <c r="A438" t="s">
        <v>89</v>
      </c>
      <c r="B438" t="s">
        <v>11</v>
      </c>
      <c r="C438">
        <v>52726</v>
      </c>
      <c r="D438" s="2">
        <v>75</v>
      </c>
      <c r="E438" s="1">
        <v>42676</v>
      </c>
      <c r="F438" t="s">
        <v>18</v>
      </c>
      <c r="G438" t="s">
        <v>13</v>
      </c>
      <c r="H438" t="str">
        <f>"11/2016-COUNCIL"</f>
        <v>11/2016-COUNCIL</v>
      </c>
      <c r="I438">
        <f>""</f>
      </c>
      <c r="J438" s="2">
        <v>75</v>
      </c>
    </row>
    <row r="439" spans="1:10" ht="15">
      <c r="A439" t="s">
        <v>90</v>
      </c>
      <c r="B439" t="s">
        <v>11</v>
      </c>
      <c r="C439">
        <v>52727</v>
      </c>
      <c r="D439" s="2">
        <v>75</v>
      </c>
      <c r="E439" s="1">
        <v>42676</v>
      </c>
      <c r="F439" t="s">
        <v>18</v>
      </c>
      <c r="G439" t="s">
        <v>13</v>
      </c>
      <c r="H439" t="str">
        <f>"11/2016-COUNCIL"</f>
        <v>11/2016-COUNCIL</v>
      </c>
      <c r="I439">
        <f>""</f>
      </c>
      <c r="J439" s="2">
        <v>75</v>
      </c>
    </row>
    <row r="440" spans="1:10" ht="15">
      <c r="A440" t="s">
        <v>91</v>
      </c>
      <c r="B440" t="s">
        <v>11</v>
      </c>
      <c r="C440">
        <v>52728</v>
      </c>
      <c r="D440" s="2">
        <v>200</v>
      </c>
      <c r="E440" s="1">
        <v>42676</v>
      </c>
      <c r="F440" t="s">
        <v>18</v>
      </c>
      <c r="G440" t="s">
        <v>13</v>
      </c>
      <c r="H440" t="str">
        <f>"11/2016-5/2016"</f>
        <v>11/2016-5/2016</v>
      </c>
      <c r="I440" t="str">
        <f>"JANITORIAL SERVICES"</f>
        <v>JANITORIAL SERVICES</v>
      </c>
      <c r="J440" s="2">
        <v>200</v>
      </c>
    </row>
    <row r="441" spans="1:10" ht="15">
      <c r="A441" t="s">
        <v>34</v>
      </c>
      <c r="B441" t="s">
        <v>11</v>
      </c>
      <c r="C441">
        <v>52729</v>
      </c>
      <c r="D441" s="2">
        <v>164.45</v>
      </c>
      <c r="E441" s="1">
        <v>42677</v>
      </c>
      <c r="F441" t="s">
        <v>18</v>
      </c>
      <c r="G441" t="s">
        <v>13</v>
      </c>
      <c r="H441" t="str">
        <f>"155582"</f>
        <v>155582</v>
      </c>
      <c r="I441" t="str">
        <f aca="true" t="shared" si="8" ref="I441:I447">"GERALD LUBIANSKI ENTERPRISES"</f>
        <v>GERALD LUBIANSKI ENTERPRISES</v>
      </c>
      <c r="J441" s="2">
        <v>104.45</v>
      </c>
    </row>
    <row r="442" spans="7:10" ht="15">
      <c r="G442" t="s">
        <v>13</v>
      </c>
      <c r="H442" t="str">
        <f>"155591"</f>
        <v>155591</v>
      </c>
      <c r="I442" t="str">
        <f t="shared" si="8"/>
        <v>GERALD LUBIANSKI ENTERPRISES</v>
      </c>
      <c r="J442" s="2">
        <v>10</v>
      </c>
    </row>
    <row r="443" spans="7:10" ht="15">
      <c r="G443" t="s">
        <v>13</v>
      </c>
      <c r="H443" t="str">
        <f>"155606"</f>
        <v>155606</v>
      </c>
      <c r="I443" t="str">
        <f t="shared" si="8"/>
        <v>GERALD LUBIANSKI ENTERPRISES</v>
      </c>
      <c r="J443" s="2">
        <v>10</v>
      </c>
    </row>
    <row r="444" spans="7:10" ht="15">
      <c r="G444" t="s">
        <v>13</v>
      </c>
      <c r="H444" t="str">
        <f>"155634"</f>
        <v>155634</v>
      </c>
      <c r="I444" t="str">
        <f t="shared" si="8"/>
        <v>GERALD LUBIANSKI ENTERPRISES</v>
      </c>
      <c r="J444" s="2">
        <v>10</v>
      </c>
    </row>
    <row r="445" spans="7:10" ht="15">
      <c r="G445" t="s">
        <v>13</v>
      </c>
      <c r="H445" t="str">
        <f>"155642"</f>
        <v>155642</v>
      </c>
      <c r="I445" t="str">
        <f t="shared" si="8"/>
        <v>GERALD LUBIANSKI ENTERPRISES</v>
      </c>
      <c r="J445" s="2">
        <v>10</v>
      </c>
    </row>
    <row r="446" spans="7:10" ht="15">
      <c r="G446" t="s">
        <v>13</v>
      </c>
      <c r="H446" t="str">
        <f>"155692"</f>
        <v>155692</v>
      </c>
      <c r="I446" t="str">
        <f t="shared" si="8"/>
        <v>GERALD LUBIANSKI ENTERPRISES</v>
      </c>
      <c r="J446" s="2">
        <v>10</v>
      </c>
    </row>
    <row r="447" spans="7:10" ht="15">
      <c r="G447" t="s">
        <v>13</v>
      </c>
      <c r="H447" t="str">
        <f>"155731"</f>
        <v>155731</v>
      </c>
      <c r="I447" t="str">
        <f t="shared" si="8"/>
        <v>GERALD LUBIANSKI ENTERPRISES</v>
      </c>
      <c r="J447" s="2">
        <v>10</v>
      </c>
    </row>
    <row r="448" spans="1:10" ht="15">
      <c r="A448" t="s">
        <v>35</v>
      </c>
      <c r="B448" t="s">
        <v>11</v>
      </c>
      <c r="C448">
        <v>52731</v>
      </c>
      <c r="D448" s="2">
        <v>23075.06</v>
      </c>
      <c r="E448" s="1">
        <v>42677</v>
      </c>
      <c r="F448" t="s">
        <v>18</v>
      </c>
      <c r="G448" t="s">
        <v>13</v>
      </c>
      <c r="H448" t="str">
        <f>"10/17/2016"</f>
        <v>10/17/2016</v>
      </c>
      <c r="I448" t="str">
        <f>"F.E.L.P.S."</f>
        <v>F.E.L.P.S.</v>
      </c>
      <c r="J448" s="2">
        <v>23075.06</v>
      </c>
    </row>
    <row r="449" spans="1:10" ht="15">
      <c r="A449" t="s">
        <v>137</v>
      </c>
      <c r="B449" t="s">
        <v>11</v>
      </c>
      <c r="C449">
        <v>52734</v>
      </c>
      <c r="D449" s="2">
        <v>200.91</v>
      </c>
      <c r="E449" s="1">
        <v>42677</v>
      </c>
      <c r="F449" t="s">
        <v>18</v>
      </c>
      <c r="G449" t="s">
        <v>13</v>
      </c>
      <c r="H449" t="str">
        <f>"201611027742"</f>
        <v>201611027742</v>
      </c>
      <c r="I449" t="str">
        <f>"WAL-MART BUSINESS/SYNCB"</f>
        <v>WAL-MART BUSINESS/SYNCB</v>
      </c>
      <c r="J449" s="2">
        <v>200.91</v>
      </c>
    </row>
    <row r="450" spans="1:10" ht="15">
      <c r="A450" t="s">
        <v>36</v>
      </c>
      <c r="B450" t="s">
        <v>11</v>
      </c>
      <c r="C450">
        <v>52735</v>
      </c>
      <c r="D450" s="2">
        <v>354.06</v>
      </c>
      <c r="E450" s="1">
        <v>42677</v>
      </c>
      <c r="F450" t="s">
        <v>18</v>
      </c>
      <c r="G450" t="s">
        <v>13</v>
      </c>
      <c r="H450" t="str">
        <f>"138904"</f>
        <v>138904</v>
      </c>
      <c r="I450" t="str">
        <f aca="true" t="shared" si="9" ref="I450:I455">"WILSON COUNTY HARDWARE"</f>
        <v>WILSON COUNTY HARDWARE</v>
      </c>
      <c r="J450" s="2">
        <v>65.92</v>
      </c>
    </row>
    <row r="451" spans="7:10" ht="15">
      <c r="G451" t="s">
        <v>13</v>
      </c>
      <c r="H451" t="str">
        <f>"138906"</f>
        <v>138906</v>
      </c>
      <c r="I451" t="str">
        <f t="shared" si="9"/>
        <v>WILSON COUNTY HARDWARE</v>
      </c>
      <c r="J451" s="2">
        <v>78.77</v>
      </c>
    </row>
    <row r="452" spans="7:10" ht="15">
      <c r="G452" t="s">
        <v>13</v>
      </c>
      <c r="H452" t="str">
        <f>"138907"</f>
        <v>138907</v>
      </c>
      <c r="I452" t="str">
        <f t="shared" si="9"/>
        <v>WILSON COUNTY HARDWARE</v>
      </c>
      <c r="J452" s="2">
        <v>57.21</v>
      </c>
    </row>
    <row r="453" spans="7:10" ht="15">
      <c r="G453" t="s">
        <v>13</v>
      </c>
      <c r="H453" t="str">
        <f>"138908"</f>
        <v>138908</v>
      </c>
      <c r="I453" t="str">
        <f t="shared" si="9"/>
        <v>WILSON COUNTY HARDWARE</v>
      </c>
      <c r="J453" s="2">
        <v>56.29</v>
      </c>
    </row>
    <row r="454" spans="7:10" ht="15">
      <c r="G454" t="s">
        <v>13</v>
      </c>
      <c r="H454" t="str">
        <f>"138910"</f>
        <v>138910</v>
      </c>
      <c r="I454" t="str">
        <f t="shared" si="9"/>
        <v>WILSON COUNTY HARDWARE</v>
      </c>
      <c r="J454" s="2">
        <v>54.12</v>
      </c>
    </row>
    <row r="455" spans="7:10" ht="15">
      <c r="G455" t="s">
        <v>13</v>
      </c>
      <c r="H455" t="str">
        <f>"138917"</f>
        <v>138917</v>
      </c>
      <c r="I455" t="str">
        <f t="shared" si="9"/>
        <v>WILSON COUNTY HARDWARE</v>
      </c>
      <c r="J455" s="2">
        <v>41.75</v>
      </c>
    </row>
    <row r="456" spans="1:10" ht="15">
      <c r="A456" t="s">
        <v>138</v>
      </c>
      <c r="B456" t="s">
        <v>11</v>
      </c>
      <c r="C456">
        <v>52736</v>
      </c>
      <c r="D456" s="2">
        <v>60644.57</v>
      </c>
      <c r="E456" s="1">
        <v>42677</v>
      </c>
      <c r="F456" t="s">
        <v>18</v>
      </c>
      <c r="G456" t="s">
        <v>13</v>
      </c>
      <c r="H456" t="str">
        <f>"10/20/2016"</f>
        <v>10/20/2016</v>
      </c>
      <c r="I456" t="str">
        <f>"F. E. D. C."</f>
        <v>F. E. D. C.</v>
      </c>
      <c r="J456" s="2">
        <v>60644.57</v>
      </c>
    </row>
    <row r="457" spans="1:10" ht="15">
      <c r="A457" t="s">
        <v>39</v>
      </c>
      <c r="B457" t="s">
        <v>11</v>
      </c>
      <c r="C457">
        <v>52737</v>
      </c>
      <c r="D457" s="2">
        <v>14</v>
      </c>
      <c r="E457" s="1">
        <v>42677</v>
      </c>
      <c r="F457" t="s">
        <v>18</v>
      </c>
      <c r="G457" t="s">
        <v>13</v>
      </c>
      <c r="H457" t="str">
        <f>"239719"</f>
        <v>239719</v>
      </c>
      <c r="I457" t="str">
        <f>"LUBE WORKS"</f>
        <v>LUBE WORKS</v>
      </c>
      <c r="J457" s="2">
        <v>7</v>
      </c>
    </row>
    <row r="458" spans="7:10" ht="15">
      <c r="G458" t="s">
        <v>13</v>
      </c>
      <c r="H458" t="str">
        <f>"239775"</f>
        <v>239775</v>
      </c>
      <c r="I458" t="str">
        <f>"LUBE WORKS"</f>
        <v>LUBE WORKS</v>
      </c>
      <c r="J458" s="2">
        <v>7</v>
      </c>
    </row>
    <row r="459" spans="1:10" ht="15">
      <c r="A459" t="s">
        <v>139</v>
      </c>
      <c r="B459" t="s">
        <v>11</v>
      </c>
      <c r="C459">
        <v>52738</v>
      </c>
      <c r="D459" s="2">
        <v>4038.03</v>
      </c>
      <c r="E459" s="1">
        <v>42677</v>
      </c>
      <c r="F459" t="s">
        <v>18</v>
      </c>
      <c r="G459" t="s">
        <v>13</v>
      </c>
      <c r="H459" t="str">
        <f>"762319"</f>
        <v>762319</v>
      </c>
      <c r="I459" t="str">
        <f>"SOUTHWEST PUBLIC SAFETY"</f>
        <v>SOUTHWEST PUBLIC SAFETY</v>
      </c>
      <c r="J459" s="2">
        <v>4038.03</v>
      </c>
    </row>
    <row r="460" spans="1:10" ht="15">
      <c r="A460" t="s">
        <v>140</v>
      </c>
      <c r="B460" t="s">
        <v>11</v>
      </c>
      <c r="C460">
        <v>52739</v>
      </c>
      <c r="D460" s="2">
        <v>601</v>
      </c>
      <c r="E460" s="1">
        <v>42677</v>
      </c>
      <c r="F460" t="s">
        <v>18</v>
      </c>
      <c r="G460" t="s">
        <v>13</v>
      </c>
      <c r="H460" t="str">
        <f>"201611027744"</f>
        <v>201611027744</v>
      </c>
      <c r="I460" t="str">
        <f>"PITNEY BOWES PURCHASE POWER"</f>
        <v>PITNEY BOWES PURCHASE POWER</v>
      </c>
      <c r="J460" s="2">
        <v>601</v>
      </c>
    </row>
    <row r="461" spans="1:10" ht="15">
      <c r="A461" t="s">
        <v>141</v>
      </c>
      <c r="B461" t="s">
        <v>11</v>
      </c>
      <c r="C461">
        <v>52740</v>
      </c>
      <c r="D461" s="2">
        <v>1403.37</v>
      </c>
      <c r="E461" s="1">
        <v>42677</v>
      </c>
      <c r="F461" t="s">
        <v>18</v>
      </c>
      <c r="G461" t="s">
        <v>13</v>
      </c>
      <c r="H461" t="str">
        <f>"04433368"</f>
        <v>04433368</v>
      </c>
      <c r="I461" t="str">
        <f>"POOLSURE"</f>
        <v>POOLSURE</v>
      </c>
      <c r="J461" s="2">
        <v>1403.37</v>
      </c>
    </row>
    <row r="462" spans="1:10" ht="15">
      <c r="A462" t="s">
        <v>44</v>
      </c>
      <c r="B462" t="s">
        <v>11</v>
      </c>
      <c r="C462">
        <v>52741</v>
      </c>
      <c r="D462" s="2">
        <v>719.91</v>
      </c>
      <c r="E462" s="1">
        <v>42677</v>
      </c>
      <c r="F462" t="s">
        <v>18</v>
      </c>
      <c r="G462" t="s">
        <v>13</v>
      </c>
      <c r="H462" t="str">
        <f>"088648"</f>
        <v>088648</v>
      </c>
      <c r="I462" t="str">
        <f>"USA BLUEBOOK"</f>
        <v>USA BLUEBOOK</v>
      </c>
      <c r="J462" s="2">
        <v>719.91</v>
      </c>
    </row>
    <row r="463" spans="1:10" ht="15">
      <c r="A463" t="s">
        <v>45</v>
      </c>
      <c r="B463" t="s">
        <v>11</v>
      </c>
      <c r="C463">
        <v>52742</v>
      </c>
      <c r="D463" s="2">
        <v>4785.6</v>
      </c>
      <c r="E463" s="1">
        <v>42677</v>
      </c>
      <c r="F463" t="s">
        <v>18</v>
      </c>
      <c r="G463" t="s">
        <v>13</v>
      </c>
      <c r="H463" t="str">
        <f>"0122065-IN"</f>
        <v>0122065-IN</v>
      </c>
      <c r="I463" t="str">
        <f aca="true" t="shared" si="10" ref="I463:I472">"NARDIS PUBLIC SAFETY"</f>
        <v>NARDIS PUBLIC SAFETY</v>
      </c>
      <c r="J463" s="2">
        <v>1932.59</v>
      </c>
    </row>
    <row r="464" spans="7:10" ht="15">
      <c r="G464" t="s">
        <v>13</v>
      </c>
      <c r="H464" t="str">
        <f>"0122693-IN"</f>
        <v>0122693-IN</v>
      </c>
      <c r="I464" t="str">
        <f t="shared" si="10"/>
        <v>NARDIS PUBLIC SAFETY</v>
      </c>
      <c r="J464" s="2">
        <v>223.92</v>
      </c>
    </row>
    <row r="465" spans="7:10" ht="15">
      <c r="G465" t="s">
        <v>13</v>
      </c>
      <c r="H465" t="str">
        <f>"0123093-IN"</f>
        <v>0123093-IN</v>
      </c>
      <c r="I465" t="str">
        <f t="shared" si="10"/>
        <v>NARDIS PUBLIC SAFETY</v>
      </c>
      <c r="J465" s="2">
        <v>121.98</v>
      </c>
    </row>
    <row r="466" spans="7:10" ht="15">
      <c r="G466" t="s">
        <v>13</v>
      </c>
      <c r="H466" t="str">
        <f>"0123353-IN"</f>
        <v>0123353-IN</v>
      </c>
      <c r="I466" t="str">
        <f t="shared" si="10"/>
        <v>NARDIS PUBLIC SAFETY</v>
      </c>
      <c r="J466" s="2">
        <v>186.95</v>
      </c>
    </row>
    <row r="467" spans="7:10" ht="15">
      <c r="G467" t="s">
        <v>13</v>
      </c>
      <c r="H467" t="str">
        <f>"0123799-IN"</f>
        <v>0123799-IN</v>
      </c>
      <c r="I467" t="str">
        <f t="shared" si="10"/>
        <v>NARDIS PUBLIC SAFETY</v>
      </c>
      <c r="J467" s="2">
        <v>323.74</v>
      </c>
    </row>
    <row r="468" spans="7:10" ht="15">
      <c r="G468" t="s">
        <v>13</v>
      </c>
      <c r="H468" t="str">
        <f>"0123824-IN"</f>
        <v>0123824-IN</v>
      </c>
      <c r="I468" t="str">
        <f t="shared" si="10"/>
        <v>NARDIS PUBLIC SAFETY</v>
      </c>
      <c r="J468" s="2">
        <v>37.98</v>
      </c>
    </row>
    <row r="469" spans="7:10" ht="15">
      <c r="G469" t="s">
        <v>13</v>
      </c>
      <c r="H469" t="str">
        <f>"0123840-IN"</f>
        <v>0123840-IN</v>
      </c>
      <c r="I469" t="str">
        <f t="shared" si="10"/>
        <v>NARDIS PUBLIC SAFETY</v>
      </c>
      <c r="J469" s="2">
        <v>115</v>
      </c>
    </row>
    <row r="470" spans="7:10" ht="15">
      <c r="G470" t="s">
        <v>13</v>
      </c>
      <c r="H470" t="str">
        <f>"0124413-IN"</f>
        <v>0124413-IN</v>
      </c>
      <c r="I470" t="str">
        <f t="shared" si="10"/>
        <v>NARDIS PUBLIC SAFETY</v>
      </c>
      <c r="J470" s="2">
        <v>603.67</v>
      </c>
    </row>
    <row r="471" spans="7:10" ht="15">
      <c r="G471" t="s">
        <v>13</v>
      </c>
      <c r="H471" t="str">
        <f>"0126921-IN"</f>
        <v>0126921-IN</v>
      </c>
      <c r="I471" t="str">
        <f t="shared" si="10"/>
        <v>NARDIS PUBLIC SAFETY</v>
      </c>
      <c r="J471" s="2">
        <v>386.95</v>
      </c>
    </row>
    <row r="472" spans="7:10" ht="15">
      <c r="G472" t="s">
        <v>13</v>
      </c>
      <c r="H472" t="str">
        <f>"0126922-IN"</f>
        <v>0126922-IN</v>
      </c>
      <c r="I472" t="str">
        <f t="shared" si="10"/>
        <v>NARDIS PUBLIC SAFETY</v>
      </c>
      <c r="J472" s="2">
        <v>852.82</v>
      </c>
    </row>
    <row r="473" spans="1:10" ht="15">
      <c r="A473" t="s">
        <v>142</v>
      </c>
      <c r="B473" t="s">
        <v>11</v>
      </c>
      <c r="C473">
        <v>52744</v>
      </c>
      <c r="D473" s="2">
        <v>200.86</v>
      </c>
      <c r="E473" s="1">
        <v>42677</v>
      </c>
      <c r="F473" t="s">
        <v>18</v>
      </c>
      <c r="G473" t="s">
        <v>13</v>
      </c>
      <c r="H473" t="str">
        <f>"1810193582"</f>
        <v>1810193582</v>
      </c>
      <c r="I473" t="str">
        <f>"O'REILLY AUTOMOTIVE  INC."</f>
        <v>O'REILLY AUTOMOTIVE  INC.</v>
      </c>
      <c r="J473" s="2">
        <v>186.58</v>
      </c>
    </row>
    <row r="474" spans="7:10" ht="15">
      <c r="G474" t="s">
        <v>13</v>
      </c>
      <c r="H474" t="str">
        <f>"1810193712"</f>
        <v>1810193712</v>
      </c>
      <c r="I474" t="str">
        <f>"O'REILLY AUTOMOTIVE  INC."</f>
        <v>O'REILLY AUTOMOTIVE  INC.</v>
      </c>
      <c r="J474" s="2">
        <v>14.28</v>
      </c>
    </row>
    <row r="475" spans="1:10" ht="15">
      <c r="A475" t="s">
        <v>143</v>
      </c>
      <c r="B475" t="s">
        <v>11</v>
      </c>
      <c r="C475">
        <v>52745</v>
      </c>
      <c r="D475" s="2">
        <v>72.25</v>
      </c>
      <c r="E475" s="1">
        <v>42677</v>
      </c>
      <c r="F475" t="s">
        <v>18</v>
      </c>
      <c r="G475" t="s">
        <v>13</v>
      </c>
      <c r="H475" t="str">
        <f>"201611017733"</f>
        <v>201611017733</v>
      </c>
      <c r="I475" t="str">
        <f>"AT&amp;T"</f>
        <v>AT&amp;T</v>
      </c>
      <c r="J475" s="2">
        <v>31.6</v>
      </c>
    </row>
    <row r="476" spans="7:10" ht="15">
      <c r="G476" t="s">
        <v>13</v>
      </c>
      <c r="H476" t="str">
        <f>"201611017740"</f>
        <v>201611017740</v>
      </c>
      <c r="I476" t="str">
        <f>"AT&amp;T"</f>
        <v>AT&amp;T</v>
      </c>
      <c r="J476" s="2">
        <v>40.65</v>
      </c>
    </row>
    <row r="477" spans="1:10" ht="15">
      <c r="A477" t="s">
        <v>144</v>
      </c>
      <c r="B477" t="s">
        <v>11</v>
      </c>
      <c r="C477">
        <v>52746</v>
      </c>
      <c r="D477" s="2">
        <v>50</v>
      </c>
      <c r="E477" s="1">
        <v>42677</v>
      </c>
      <c r="F477" t="s">
        <v>18</v>
      </c>
      <c r="G477" t="s">
        <v>13</v>
      </c>
      <c r="H477" t="str">
        <f>"201611037747"</f>
        <v>201611037747</v>
      </c>
      <c r="I477" t="str">
        <f>"TRAIN REF"</f>
        <v>TRAIN REF</v>
      </c>
      <c r="J477" s="2">
        <v>50</v>
      </c>
    </row>
    <row r="478" spans="1:10" ht="15">
      <c r="A478" t="s">
        <v>145</v>
      </c>
      <c r="B478" t="s">
        <v>11</v>
      </c>
      <c r="C478">
        <v>52747</v>
      </c>
      <c r="D478" s="2">
        <v>50</v>
      </c>
      <c r="E478" s="1">
        <v>42677</v>
      </c>
      <c r="F478" t="s">
        <v>18</v>
      </c>
      <c r="G478" t="s">
        <v>13</v>
      </c>
      <c r="H478" t="str">
        <f>"201611037748"</f>
        <v>201611037748</v>
      </c>
      <c r="I478" t="str">
        <f>"TRAIN REF"</f>
        <v>TRAIN REF</v>
      </c>
      <c r="J478" s="2">
        <v>50</v>
      </c>
    </row>
    <row r="479" spans="1:10" ht="15">
      <c r="A479" t="s">
        <v>146</v>
      </c>
      <c r="B479" t="s">
        <v>11</v>
      </c>
      <c r="C479">
        <v>52748</v>
      </c>
      <c r="D479" s="2">
        <v>50</v>
      </c>
      <c r="E479" s="1">
        <v>42677</v>
      </c>
      <c r="F479" t="s">
        <v>18</v>
      </c>
      <c r="G479" t="s">
        <v>13</v>
      </c>
      <c r="H479" t="str">
        <f>"201611037749"</f>
        <v>201611037749</v>
      </c>
      <c r="I479" t="str">
        <f>"TRAIN REF"</f>
        <v>TRAIN REF</v>
      </c>
      <c r="J479" s="2">
        <v>50</v>
      </c>
    </row>
    <row r="480" spans="1:10" ht="15">
      <c r="A480" t="s">
        <v>147</v>
      </c>
      <c r="B480" t="s">
        <v>11</v>
      </c>
      <c r="C480">
        <v>52749</v>
      </c>
      <c r="D480" s="2">
        <v>50</v>
      </c>
      <c r="E480" s="1">
        <v>42677</v>
      </c>
      <c r="F480" t="s">
        <v>18</v>
      </c>
      <c r="G480" t="s">
        <v>13</v>
      </c>
      <c r="H480" t="str">
        <f>"201611037750"</f>
        <v>201611037750</v>
      </c>
      <c r="I480" t="str">
        <f>"TRAIN REF"</f>
        <v>TRAIN REF</v>
      </c>
      <c r="J480" s="2">
        <v>50</v>
      </c>
    </row>
    <row r="481" spans="1:10" ht="15">
      <c r="A481" t="s">
        <v>148</v>
      </c>
      <c r="B481" t="s">
        <v>11</v>
      </c>
      <c r="C481">
        <v>52750</v>
      </c>
      <c r="D481" s="2">
        <v>50</v>
      </c>
      <c r="E481" s="1">
        <v>42677</v>
      </c>
      <c r="F481" t="s">
        <v>18</v>
      </c>
      <c r="G481" t="s">
        <v>13</v>
      </c>
      <c r="H481" t="str">
        <f>"201611037751"</f>
        <v>201611037751</v>
      </c>
      <c r="I481" t="str">
        <f>"TRAIN REF"</f>
        <v>TRAIN REF</v>
      </c>
      <c r="J481" s="2">
        <v>50</v>
      </c>
    </row>
    <row r="482" spans="1:10" ht="15">
      <c r="A482" t="s">
        <v>145</v>
      </c>
      <c r="B482" t="s">
        <v>11</v>
      </c>
      <c r="C482">
        <v>52751</v>
      </c>
      <c r="D482" s="2">
        <v>145</v>
      </c>
      <c r="E482" s="1">
        <v>42677</v>
      </c>
      <c r="F482" t="s">
        <v>18</v>
      </c>
      <c r="G482" t="s">
        <v>13</v>
      </c>
      <c r="H482" t="str">
        <f>"201611037752"</f>
        <v>201611037752</v>
      </c>
      <c r="I482" t="str">
        <f>"WSI CERT"</f>
        <v>WSI CERT</v>
      </c>
      <c r="J482" s="2">
        <v>145</v>
      </c>
    </row>
    <row r="483" spans="1:10" ht="15">
      <c r="A483" t="s">
        <v>149</v>
      </c>
      <c r="B483" t="s">
        <v>11</v>
      </c>
      <c r="C483">
        <v>52752</v>
      </c>
      <c r="D483" s="2">
        <v>50</v>
      </c>
      <c r="E483" s="1">
        <v>42677</v>
      </c>
      <c r="F483" t="s">
        <v>18</v>
      </c>
      <c r="G483" t="s">
        <v>13</v>
      </c>
      <c r="H483" t="str">
        <f>"201611037753"</f>
        <v>201611037753</v>
      </c>
      <c r="I483" t="str">
        <f>"TRAIN REFUND"</f>
        <v>TRAIN REFUND</v>
      </c>
      <c r="J483" s="2">
        <v>50</v>
      </c>
    </row>
    <row r="484" spans="1:10" ht="15">
      <c r="A484" t="s">
        <v>150</v>
      </c>
      <c r="B484" t="s">
        <v>11</v>
      </c>
      <c r="C484">
        <v>52753</v>
      </c>
      <c r="D484" s="2">
        <v>75</v>
      </c>
      <c r="E484" s="1">
        <v>42677</v>
      </c>
      <c r="F484" t="s">
        <v>18</v>
      </c>
      <c r="G484" t="s">
        <v>13</v>
      </c>
      <c r="H484" t="str">
        <f>"201611037754"</f>
        <v>201611037754</v>
      </c>
      <c r="I484" t="str">
        <f aca="true" t="shared" si="11" ref="I484:I494">"TRAIN REF"</f>
        <v>TRAIN REF</v>
      </c>
      <c r="J484" s="2">
        <v>75</v>
      </c>
    </row>
    <row r="485" spans="1:10" ht="15">
      <c r="A485" t="s">
        <v>151</v>
      </c>
      <c r="B485" t="s">
        <v>11</v>
      </c>
      <c r="C485">
        <v>52754</v>
      </c>
      <c r="D485" s="2">
        <v>50</v>
      </c>
      <c r="E485" s="1">
        <v>42677</v>
      </c>
      <c r="F485" t="s">
        <v>18</v>
      </c>
      <c r="G485" t="s">
        <v>13</v>
      </c>
      <c r="H485" t="str">
        <f>"201611037755"</f>
        <v>201611037755</v>
      </c>
      <c r="I485" t="str">
        <f t="shared" si="11"/>
        <v>TRAIN REF</v>
      </c>
      <c r="J485" s="2">
        <v>50</v>
      </c>
    </row>
    <row r="486" spans="1:10" ht="15">
      <c r="A486" t="s">
        <v>152</v>
      </c>
      <c r="B486" t="s">
        <v>11</v>
      </c>
      <c r="C486">
        <v>52755</v>
      </c>
      <c r="D486" s="2">
        <v>100</v>
      </c>
      <c r="E486" s="1">
        <v>42677</v>
      </c>
      <c r="F486" t="s">
        <v>18</v>
      </c>
      <c r="G486" t="s">
        <v>13</v>
      </c>
      <c r="H486" t="str">
        <f>"201611037756"</f>
        <v>201611037756</v>
      </c>
      <c r="I486" t="str">
        <f t="shared" si="11"/>
        <v>TRAIN REF</v>
      </c>
      <c r="J486" s="2">
        <v>100</v>
      </c>
    </row>
    <row r="487" spans="1:10" ht="15">
      <c r="A487" t="s">
        <v>153</v>
      </c>
      <c r="B487" t="s">
        <v>11</v>
      </c>
      <c r="C487">
        <v>52756</v>
      </c>
      <c r="D487" s="2">
        <v>100</v>
      </c>
      <c r="E487" s="1">
        <v>42677</v>
      </c>
      <c r="F487" t="s">
        <v>18</v>
      </c>
      <c r="G487" t="s">
        <v>13</v>
      </c>
      <c r="H487" t="str">
        <f>"201611037757"</f>
        <v>201611037757</v>
      </c>
      <c r="I487" t="str">
        <f t="shared" si="11"/>
        <v>TRAIN REF</v>
      </c>
      <c r="J487" s="2">
        <v>100</v>
      </c>
    </row>
    <row r="488" spans="1:10" ht="15">
      <c r="A488" t="s">
        <v>154</v>
      </c>
      <c r="B488" t="s">
        <v>11</v>
      </c>
      <c r="C488">
        <v>52757</v>
      </c>
      <c r="D488" s="2">
        <v>100</v>
      </c>
      <c r="E488" s="1">
        <v>42677</v>
      </c>
      <c r="F488" t="s">
        <v>18</v>
      </c>
      <c r="G488" t="s">
        <v>13</v>
      </c>
      <c r="H488" t="str">
        <f>"201611037758"</f>
        <v>201611037758</v>
      </c>
      <c r="I488" t="str">
        <f t="shared" si="11"/>
        <v>TRAIN REF</v>
      </c>
      <c r="J488" s="2">
        <v>100</v>
      </c>
    </row>
    <row r="489" spans="1:10" ht="15">
      <c r="A489" t="s">
        <v>155</v>
      </c>
      <c r="B489" t="s">
        <v>11</v>
      </c>
      <c r="C489">
        <v>52758</v>
      </c>
      <c r="D489" s="2">
        <v>100</v>
      </c>
      <c r="E489" s="1">
        <v>42677</v>
      </c>
      <c r="F489" t="s">
        <v>18</v>
      </c>
      <c r="G489" t="s">
        <v>13</v>
      </c>
      <c r="H489" t="str">
        <f>"201611037759"</f>
        <v>201611037759</v>
      </c>
      <c r="I489" t="str">
        <f t="shared" si="11"/>
        <v>TRAIN REF</v>
      </c>
      <c r="J489" s="2">
        <v>100</v>
      </c>
    </row>
    <row r="490" spans="1:10" ht="15">
      <c r="A490" t="s">
        <v>156</v>
      </c>
      <c r="B490" t="s">
        <v>11</v>
      </c>
      <c r="C490">
        <v>52759</v>
      </c>
      <c r="D490" s="2">
        <v>100</v>
      </c>
      <c r="E490" s="1">
        <v>42677</v>
      </c>
      <c r="F490" t="s">
        <v>18</v>
      </c>
      <c r="G490" t="s">
        <v>13</v>
      </c>
      <c r="H490" t="str">
        <f>"201611037760"</f>
        <v>201611037760</v>
      </c>
      <c r="I490" t="str">
        <f t="shared" si="11"/>
        <v>TRAIN REF</v>
      </c>
      <c r="J490" s="2">
        <v>100</v>
      </c>
    </row>
    <row r="491" spans="1:10" ht="15">
      <c r="A491" t="s">
        <v>157</v>
      </c>
      <c r="B491" t="s">
        <v>11</v>
      </c>
      <c r="C491">
        <v>52760</v>
      </c>
      <c r="D491" s="2">
        <v>100</v>
      </c>
      <c r="E491" s="1">
        <v>42677</v>
      </c>
      <c r="F491" t="s">
        <v>18</v>
      </c>
      <c r="G491" t="s">
        <v>13</v>
      </c>
      <c r="H491" t="str">
        <f>"201611037761"</f>
        <v>201611037761</v>
      </c>
      <c r="I491" t="str">
        <f t="shared" si="11"/>
        <v>TRAIN REF</v>
      </c>
      <c r="J491" s="2">
        <v>100</v>
      </c>
    </row>
    <row r="492" spans="1:10" ht="15">
      <c r="A492" t="s">
        <v>158</v>
      </c>
      <c r="B492" t="s">
        <v>11</v>
      </c>
      <c r="C492">
        <v>52761</v>
      </c>
      <c r="D492" s="2">
        <v>100</v>
      </c>
      <c r="E492" s="1">
        <v>42677</v>
      </c>
      <c r="F492" t="s">
        <v>18</v>
      </c>
      <c r="G492" t="s">
        <v>13</v>
      </c>
      <c r="H492" t="str">
        <f>"201611037762"</f>
        <v>201611037762</v>
      </c>
      <c r="I492" t="str">
        <f t="shared" si="11"/>
        <v>TRAIN REF</v>
      </c>
      <c r="J492" s="2">
        <v>100</v>
      </c>
    </row>
    <row r="493" spans="1:10" ht="15">
      <c r="A493" t="s">
        <v>159</v>
      </c>
      <c r="B493" t="s">
        <v>11</v>
      </c>
      <c r="C493">
        <v>52762</v>
      </c>
      <c r="D493" s="2">
        <v>100</v>
      </c>
      <c r="E493" s="1">
        <v>42677</v>
      </c>
      <c r="F493" t="s">
        <v>18</v>
      </c>
      <c r="G493" t="s">
        <v>13</v>
      </c>
      <c r="H493" t="str">
        <f>"201611037763"</f>
        <v>201611037763</v>
      </c>
      <c r="I493" t="str">
        <f t="shared" si="11"/>
        <v>TRAIN REF</v>
      </c>
      <c r="J493" s="2">
        <v>100</v>
      </c>
    </row>
    <row r="494" spans="1:10" ht="15">
      <c r="A494" t="s">
        <v>160</v>
      </c>
      <c r="B494" t="s">
        <v>11</v>
      </c>
      <c r="C494">
        <v>52763</v>
      </c>
      <c r="D494" s="2">
        <v>100</v>
      </c>
      <c r="E494" s="1">
        <v>42677</v>
      </c>
      <c r="F494" t="s">
        <v>18</v>
      </c>
      <c r="G494" t="s">
        <v>13</v>
      </c>
      <c r="H494" t="str">
        <f>"201611037764"</f>
        <v>201611037764</v>
      </c>
      <c r="I494" t="str">
        <f t="shared" si="11"/>
        <v>TRAIN REF</v>
      </c>
      <c r="J494" s="2">
        <v>100</v>
      </c>
    </row>
    <row r="495" spans="1:10" ht="15">
      <c r="A495" t="s">
        <v>161</v>
      </c>
      <c r="B495" t="s">
        <v>11</v>
      </c>
      <c r="C495">
        <v>52764</v>
      </c>
      <c r="D495" s="2">
        <v>188</v>
      </c>
      <c r="E495" s="1">
        <v>42677</v>
      </c>
      <c r="F495" t="s">
        <v>18</v>
      </c>
      <c r="G495" t="s">
        <v>13</v>
      </c>
      <c r="H495" t="str">
        <f>"025-168175"</f>
        <v>025-168175</v>
      </c>
      <c r="I495" t="str">
        <f>"TYLER TECHNOLOGIES  INC."</f>
        <v>TYLER TECHNOLOGIES  INC.</v>
      </c>
      <c r="J495" s="2">
        <v>188</v>
      </c>
    </row>
    <row r="496" spans="1:10" ht="15">
      <c r="A496" t="s">
        <v>47</v>
      </c>
      <c r="B496" t="s">
        <v>11</v>
      </c>
      <c r="C496">
        <v>52765</v>
      </c>
      <c r="D496" s="2">
        <v>2389.88</v>
      </c>
      <c r="E496" s="1">
        <v>42677</v>
      </c>
      <c r="F496" t="s">
        <v>15</v>
      </c>
      <c r="G496" t="s">
        <v>13</v>
      </c>
      <c r="H496" t="str">
        <f>"10/10/2016"</f>
        <v>10/10/2016</v>
      </c>
      <c r="I496" t="str">
        <f>"CITY OF FLORESVILLE"</f>
        <v>CITY OF FLORESVILLE</v>
      </c>
      <c r="J496" s="2">
        <v>2156.29</v>
      </c>
    </row>
    <row r="497" spans="7:10" ht="15">
      <c r="G497" t="s">
        <v>13</v>
      </c>
      <c r="H497" t="str">
        <f>"201611037745"</f>
        <v>201611037745</v>
      </c>
      <c r="I497" t="str">
        <f>"CITY OF FLORESVILLE"</f>
        <v>CITY OF FLORESVILLE</v>
      </c>
      <c r="J497" s="2">
        <v>233.59</v>
      </c>
    </row>
    <row r="498" spans="1:10" ht="15">
      <c r="A498" t="s">
        <v>47</v>
      </c>
      <c r="B498" t="s">
        <v>11</v>
      </c>
      <c r="C498">
        <v>52765</v>
      </c>
      <c r="D498" s="2">
        <v>2389.88</v>
      </c>
      <c r="E498" s="1">
        <v>42677</v>
      </c>
      <c r="F498" t="s">
        <v>15</v>
      </c>
      <c r="G498" t="s">
        <v>16</v>
      </c>
      <c r="H498" t="str">
        <f>"CHECK"</f>
        <v>CHECK</v>
      </c>
      <c r="I498">
        <f>""</f>
      </c>
      <c r="J498" s="2">
        <v>2389.88</v>
      </c>
    </row>
    <row r="499" spans="1:10" ht="15">
      <c r="A499" t="s">
        <v>162</v>
      </c>
      <c r="B499" t="s">
        <v>11</v>
      </c>
      <c r="C499">
        <v>52768</v>
      </c>
      <c r="D499" s="2">
        <v>1090</v>
      </c>
      <c r="E499" s="1">
        <v>42677</v>
      </c>
      <c r="F499" t="s">
        <v>18</v>
      </c>
      <c r="G499" t="s">
        <v>13</v>
      </c>
      <c r="H499" t="str">
        <f>"1043-523"</f>
        <v>1043-523</v>
      </c>
      <c r="I499" t="str">
        <f>"POLLUTION CONTROL SERVICES"</f>
        <v>POLLUTION CONTROL SERVICES</v>
      </c>
      <c r="J499" s="2">
        <v>754</v>
      </c>
    </row>
    <row r="500" spans="7:10" ht="15">
      <c r="G500" t="s">
        <v>13</v>
      </c>
      <c r="H500" t="str">
        <f>"1043-524"</f>
        <v>1043-524</v>
      </c>
      <c r="I500" t="str">
        <f>"POLLUTION CONTROL SERVICES"</f>
        <v>POLLUTION CONTROL SERVICES</v>
      </c>
      <c r="J500" s="2">
        <v>336</v>
      </c>
    </row>
    <row r="501" spans="1:10" ht="15">
      <c r="A501" t="s">
        <v>48</v>
      </c>
      <c r="B501" t="s">
        <v>11</v>
      </c>
      <c r="C501">
        <v>52769</v>
      </c>
      <c r="D501" s="2">
        <v>46.51</v>
      </c>
      <c r="E501" s="1">
        <v>42677</v>
      </c>
      <c r="F501" t="s">
        <v>18</v>
      </c>
      <c r="G501" t="s">
        <v>13</v>
      </c>
      <c r="H501" t="str">
        <f>"3547756038"</f>
        <v>3547756038</v>
      </c>
      <c r="I501" t="str">
        <f>"AUTOZONE"</f>
        <v>AUTOZONE</v>
      </c>
      <c r="J501" s="2">
        <v>19.98</v>
      </c>
    </row>
    <row r="502" spans="7:10" ht="15">
      <c r="G502" t="s">
        <v>13</v>
      </c>
      <c r="H502" t="str">
        <f>"3547761322"</f>
        <v>3547761322</v>
      </c>
      <c r="I502" t="str">
        <f>"AUTOZONE"</f>
        <v>AUTOZONE</v>
      </c>
      <c r="J502" s="2">
        <v>17.57</v>
      </c>
    </row>
    <row r="503" spans="7:10" ht="15">
      <c r="G503" t="s">
        <v>13</v>
      </c>
      <c r="H503" t="str">
        <f>"3547763084"</f>
        <v>3547763084</v>
      </c>
      <c r="I503" t="str">
        <f>"AUTOZONE"</f>
        <v>AUTOZONE</v>
      </c>
      <c r="J503" s="2">
        <v>8.96</v>
      </c>
    </row>
    <row r="504" spans="1:10" ht="15">
      <c r="A504" t="s">
        <v>163</v>
      </c>
      <c r="B504" t="s">
        <v>11</v>
      </c>
      <c r="C504">
        <v>52770</v>
      </c>
      <c r="D504" s="2">
        <v>548.58</v>
      </c>
      <c r="E504" s="1">
        <v>42677</v>
      </c>
      <c r="F504" t="s">
        <v>18</v>
      </c>
      <c r="G504" t="s">
        <v>13</v>
      </c>
      <c r="H504" t="str">
        <f>"8402908985"</f>
        <v>8402908985</v>
      </c>
      <c r="I504" t="str">
        <f>"CINTAS CORPORATION"</f>
        <v>CINTAS CORPORATION</v>
      </c>
      <c r="J504" s="2">
        <v>237.63</v>
      </c>
    </row>
    <row r="505" spans="7:10" ht="15">
      <c r="G505" t="s">
        <v>13</v>
      </c>
      <c r="H505" t="str">
        <f>"8402924334"</f>
        <v>8402924334</v>
      </c>
      <c r="I505" t="str">
        <f>"CINTAS CORPORATION"</f>
        <v>CINTAS CORPORATION</v>
      </c>
      <c r="J505" s="2">
        <v>310.95</v>
      </c>
    </row>
    <row r="506" spans="1:10" ht="15">
      <c r="A506" t="s">
        <v>164</v>
      </c>
      <c r="B506" t="s">
        <v>11</v>
      </c>
      <c r="C506">
        <v>52771</v>
      </c>
      <c r="D506" s="2">
        <v>36</v>
      </c>
      <c r="E506" s="1">
        <v>42677</v>
      </c>
      <c r="F506" t="s">
        <v>18</v>
      </c>
      <c r="G506" t="s">
        <v>13</v>
      </c>
      <c r="H506" t="str">
        <f>"ACCT#1117"</f>
        <v>ACCT#1117</v>
      </c>
      <c r="I506" t="str">
        <f>"TEXAS MUNICIPAL COURT - JUSTIC"</f>
        <v>TEXAS MUNICIPAL COURT - JUSTIC</v>
      </c>
      <c r="J506" s="2">
        <v>36</v>
      </c>
    </row>
    <row r="507" spans="1:10" ht="15">
      <c r="A507" t="s">
        <v>52</v>
      </c>
      <c r="B507" t="s">
        <v>11</v>
      </c>
      <c r="C507">
        <v>52772</v>
      </c>
      <c r="D507" s="2">
        <v>502.88</v>
      </c>
      <c r="E507" s="1">
        <v>42677</v>
      </c>
      <c r="F507" t="s">
        <v>18</v>
      </c>
      <c r="G507" t="s">
        <v>13</v>
      </c>
      <c r="H507" t="str">
        <f>"48194"</f>
        <v>48194</v>
      </c>
      <c r="I507" t="str">
        <f>"LOPEZ EXTERMINATING SERVICE  I"</f>
        <v>LOPEZ EXTERMINATING SERVICE  I</v>
      </c>
      <c r="J507" s="2">
        <v>502.88</v>
      </c>
    </row>
    <row r="508" spans="1:10" ht="15">
      <c r="A508" t="s">
        <v>165</v>
      </c>
      <c r="B508" t="s">
        <v>11</v>
      </c>
      <c r="C508">
        <v>52773</v>
      </c>
      <c r="D508" s="2">
        <v>1091.21</v>
      </c>
      <c r="E508" s="1">
        <v>42677</v>
      </c>
      <c r="F508" t="s">
        <v>18</v>
      </c>
      <c r="G508" t="s">
        <v>13</v>
      </c>
      <c r="H508" t="str">
        <f>"10284"</f>
        <v>10284</v>
      </c>
      <c r="I508" t="str">
        <f>"BRYAN AIR CONDITIONING &amp; HEATI"</f>
        <v>BRYAN AIR CONDITIONING &amp; HEATI</v>
      </c>
      <c r="J508" s="2">
        <v>673.71</v>
      </c>
    </row>
    <row r="509" spans="7:10" ht="15">
      <c r="G509" t="s">
        <v>13</v>
      </c>
      <c r="H509" t="str">
        <f>"10289"</f>
        <v>10289</v>
      </c>
      <c r="I509" t="str">
        <f>"BRYAN AIR CONDITIONING &amp; HEATI"</f>
        <v>BRYAN AIR CONDITIONING &amp; HEATI</v>
      </c>
      <c r="J509" s="2">
        <v>417.5</v>
      </c>
    </row>
    <row r="510" spans="1:10" ht="15">
      <c r="A510" t="s">
        <v>54</v>
      </c>
      <c r="B510" t="s">
        <v>11</v>
      </c>
      <c r="C510">
        <v>52774</v>
      </c>
      <c r="D510" s="2">
        <v>2000</v>
      </c>
      <c r="E510" s="1">
        <v>42677</v>
      </c>
      <c r="F510" t="s">
        <v>18</v>
      </c>
      <c r="G510" t="s">
        <v>13</v>
      </c>
      <c r="H510" t="str">
        <f>"1412"</f>
        <v>1412</v>
      </c>
      <c r="I510" t="str">
        <f>"THE LAW OFFICES OF LOUIS T. RO"</f>
        <v>THE LAW OFFICES OF LOUIS T. RO</v>
      </c>
      <c r="J510" s="2">
        <v>2000</v>
      </c>
    </row>
    <row r="511" spans="1:10" ht="15">
      <c r="A511" t="s">
        <v>166</v>
      </c>
      <c r="B511" t="s">
        <v>11</v>
      </c>
      <c r="C511">
        <v>52775</v>
      </c>
      <c r="D511" s="2">
        <v>50</v>
      </c>
      <c r="E511" s="1">
        <v>42677</v>
      </c>
      <c r="F511" t="s">
        <v>18</v>
      </c>
      <c r="G511" t="s">
        <v>13</v>
      </c>
      <c r="H511" t="str">
        <f>"201611037746"</f>
        <v>201611037746</v>
      </c>
      <c r="I511" t="str">
        <f>"LISA SOUTHERN"</f>
        <v>LISA SOUTHERN</v>
      </c>
      <c r="J511" s="2">
        <v>50</v>
      </c>
    </row>
    <row r="512" spans="1:10" ht="15">
      <c r="A512" t="s">
        <v>115</v>
      </c>
      <c r="B512" t="s">
        <v>11</v>
      </c>
      <c r="C512">
        <v>52776</v>
      </c>
      <c r="D512" s="2">
        <v>583.77</v>
      </c>
      <c r="E512" s="1">
        <v>42677</v>
      </c>
      <c r="F512" t="s">
        <v>18</v>
      </c>
      <c r="G512" t="s">
        <v>13</v>
      </c>
      <c r="H512" t="str">
        <f>"74520069"</f>
        <v>74520069</v>
      </c>
      <c r="I512" t="str">
        <f>"VERIZON BUSINESS"</f>
        <v>VERIZON BUSINESS</v>
      </c>
      <c r="J512" s="2">
        <v>583.77</v>
      </c>
    </row>
    <row r="513" spans="1:10" ht="15">
      <c r="A513" t="s">
        <v>56</v>
      </c>
      <c r="B513" t="s">
        <v>11</v>
      </c>
      <c r="C513">
        <v>52777</v>
      </c>
      <c r="D513" s="2">
        <v>200</v>
      </c>
      <c r="E513" s="1">
        <v>42677</v>
      </c>
      <c r="F513" t="s">
        <v>18</v>
      </c>
      <c r="G513" t="s">
        <v>13</v>
      </c>
      <c r="H513" t="str">
        <f>"0352673-IN"</f>
        <v>0352673-IN</v>
      </c>
      <c r="I513" t="str">
        <f>"SOUTHWASTE DISPOSAL  LLP"</f>
        <v>SOUTHWASTE DISPOSAL  LLP</v>
      </c>
      <c r="J513" s="2">
        <v>100</v>
      </c>
    </row>
    <row r="514" spans="7:10" ht="15">
      <c r="G514" t="s">
        <v>13</v>
      </c>
      <c r="H514" t="str">
        <f>"0352716-IN"</f>
        <v>0352716-IN</v>
      </c>
      <c r="I514" t="str">
        <f>"SOUTHWASTE DISPOSAL  LLP"</f>
        <v>SOUTHWASTE DISPOSAL  LLP</v>
      </c>
      <c r="J514" s="2">
        <v>100</v>
      </c>
    </row>
    <row r="515" spans="1:10" ht="15">
      <c r="A515" t="s">
        <v>167</v>
      </c>
      <c r="B515" t="s">
        <v>11</v>
      </c>
      <c r="C515">
        <v>52778</v>
      </c>
      <c r="D515" s="2">
        <v>1564</v>
      </c>
      <c r="E515" s="1">
        <v>42677</v>
      </c>
      <c r="F515" t="s">
        <v>18</v>
      </c>
      <c r="G515" t="s">
        <v>13</v>
      </c>
      <c r="H515" t="str">
        <f>"32809"</f>
        <v>32809</v>
      </c>
      <c r="I515" t="str">
        <f>"FORMAX"</f>
        <v>FORMAX</v>
      </c>
      <c r="J515" s="2">
        <v>1564</v>
      </c>
    </row>
    <row r="516" spans="1:10" ht="15">
      <c r="A516" t="s">
        <v>168</v>
      </c>
      <c r="B516" t="s">
        <v>11</v>
      </c>
      <c r="C516">
        <v>52779</v>
      </c>
      <c r="D516" s="2">
        <v>410</v>
      </c>
      <c r="E516" s="1">
        <v>42677</v>
      </c>
      <c r="F516" t="s">
        <v>18</v>
      </c>
      <c r="G516" t="s">
        <v>13</v>
      </c>
      <c r="H516" t="str">
        <f>"1670201"</f>
        <v>1670201</v>
      </c>
      <c r="I516" t="str">
        <f>"TEXAS FACILITIES COMMISSION FE"</f>
        <v>TEXAS FACILITIES COMMISSION FE</v>
      </c>
      <c r="J516" s="2">
        <v>405</v>
      </c>
    </row>
    <row r="517" spans="7:10" ht="15">
      <c r="G517" t="s">
        <v>13</v>
      </c>
      <c r="H517" t="str">
        <f>"1670202"</f>
        <v>1670202</v>
      </c>
      <c r="I517" t="str">
        <f>"TEXAS FACILITIES COMMISSION FE"</f>
        <v>TEXAS FACILITIES COMMISSION FE</v>
      </c>
      <c r="J517" s="2">
        <v>5</v>
      </c>
    </row>
    <row r="518" spans="1:10" ht="15">
      <c r="A518" t="s">
        <v>59</v>
      </c>
      <c r="B518" t="s">
        <v>11</v>
      </c>
      <c r="C518">
        <v>52780</v>
      </c>
      <c r="D518" s="2">
        <v>62.73</v>
      </c>
      <c r="E518" s="1">
        <v>42677</v>
      </c>
      <c r="F518" t="s">
        <v>18</v>
      </c>
      <c r="G518" t="s">
        <v>13</v>
      </c>
      <c r="H518" t="str">
        <f>"3377114"</f>
        <v>3377114</v>
      </c>
      <c r="I518" t="str">
        <f>"EWALD TRACTOR SUPPLY"</f>
        <v>EWALD TRACTOR SUPPLY</v>
      </c>
      <c r="J518" s="2">
        <v>37.8</v>
      </c>
    </row>
    <row r="519" spans="7:10" ht="15">
      <c r="G519" t="s">
        <v>13</v>
      </c>
      <c r="H519" t="str">
        <f>"4319592"</f>
        <v>4319592</v>
      </c>
      <c r="I519" t="str">
        <f>"EWALD TRACTOR SUPPLY"</f>
        <v>EWALD TRACTOR SUPPLY</v>
      </c>
      <c r="J519" s="2">
        <v>24.93</v>
      </c>
    </row>
    <row r="520" spans="1:10" ht="15">
      <c r="A520" t="s">
        <v>169</v>
      </c>
      <c r="B520" t="s">
        <v>11</v>
      </c>
      <c r="C520">
        <v>52781</v>
      </c>
      <c r="D520" s="2">
        <v>132.56</v>
      </c>
      <c r="E520" s="1">
        <v>42677</v>
      </c>
      <c r="F520" t="s">
        <v>18</v>
      </c>
      <c r="G520" t="s">
        <v>13</v>
      </c>
      <c r="H520" t="str">
        <f>"SI1433268"</f>
        <v>SI1433268</v>
      </c>
      <c r="I520" t="str">
        <f>"TASER INTERNATIONAL"</f>
        <v>TASER INTERNATIONAL</v>
      </c>
      <c r="J520" s="2">
        <v>132.56</v>
      </c>
    </row>
    <row r="521" spans="1:10" ht="15">
      <c r="A521" t="s">
        <v>63</v>
      </c>
      <c r="B521" t="s">
        <v>11</v>
      </c>
      <c r="C521">
        <v>52782</v>
      </c>
      <c r="D521" s="2">
        <v>51.85</v>
      </c>
      <c r="E521" s="1">
        <v>42677</v>
      </c>
      <c r="F521" t="s">
        <v>18</v>
      </c>
      <c r="G521" t="s">
        <v>13</v>
      </c>
      <c r="H521" t="str">
        <f>"087542156"</f>
        <v>087542156</v>
      </c>
      <c r="I521" t="str">
        <f>"CINTAS CORPORATION #087"</f>
        <v>CINTAS CORPORATION #087</v>
      </c>
      <c r="J521" s="2">
        <v>51.85</v>
      </c>
    </row>
    <row r="522" spans="1:10" ht="15">
      <c r="A522" t="s">
        <v>98</v>
      </c>
      <c r="B522" t="s">
        <v>11</v>
      </c>
      <c r="C522">
        <v>52783</v>
      </c>
      <c r="D522" s="2">
        <v>255.5</v>
      </c>
      <c r="E522" s="1">
        <v>42677</v>
      </c>
      <c r="F522" t="s">
        <v>18</v>
      </c>
      <c r="G522" t="s">
        <v>13</v>
      </c>
      <c r="H522" t="str">
        <f>"11/01/2016"</f>
        <v>11/01/2016</v>
      </c>
      <c r="I522" t="str">
        <f>"TML INTERGOVERNMENTAL RISK POO"</f>
        <v>TML INTERGOVERNMENTAL RISK POO</v>
      </c>
      <c r="J522" s="2">
        <v>255.5</v>
      </c>
    </row>
    <row r="523" spans="1:10" ht="15">
      <c r="A523" t="s">
        <v>64</v>
      </c>
      <c r="B523" t="s">
        <v>11</v>
      </c>
      <c r="C523">
        <v>52784</v>
      </c>
      <c r="D523" s="2">
        <v>35</v>
      </c>
      <c r="E523" s="1">
        <v>42677</v>
      </c>
      <c r="F523" t="s">
        <v>18</v>
      </c>
      <c r="G523" t="s">
        <v>13</v>
      </c>
      <c r="H523" t="str">
        <f>"474649"</f>
        <v>474649</v>
      </c>
      <c r="I523" t="str">
        <f>"VILLA TIRES"</f>
        <v>VILLA TIRES</v>
      </c>
      <c r="J523" s="2">
        <v>35</v>
      </c>
    </row>
    <row r="524" spans="1:10" ht="15">
      <c r="A524" t="s">
        <v>65</v>
      </c>
      <c r="B524" t="s">
        <v>11</v>
      </c>
      <c r="C524">
        <v>52785</v>
      </c>
      <c r="D524" s="2">
        <v>50.08</v>
      </c>
      <c r="E524" s="1">
        <v>42677</v>
      </c>
      <c r="F524" t="s">
        <v>18</v>
      </c>
      <c r="G524" t="s">
        <v>13</v>
      </c>
      <c r="H524" t="str">
        <f>"9773286028"</f>
        <v>9773286028</v>
      </c>
      <c r="I524" t="str">
        <f>"VERIZON WIRELESS"</f>
        <v>VERIZON WIRELESS</v>
      </c>
      <c r="J524" s="2">
        <v>50.08</v>
      </c>
    </row>
    <row r="525" spans="1:10" ht="15">
      <c r="A525" t="s">
        <v>170</v>
      </c>
      <c r="B525" t="s">
        <v>11</v>
      </c>
      <c r="C525">
        <v>52786</v>
      </c>
      <c r="D525" s="2">
        <v>2887.59</v>
      </c>
      <c r="E525" s="1">
        <v>42677</v>
      </c>
      <c r="F525" t="s">
        <v>18</v>
      </c>
      <c r="G525" t="s">
        <v>13</v>
      </c>
      <c r="H525" t="str">
        <f>"27537"</f>
        <v>27537</v>
      </c>
      <c r="I525" t="str">
        <f>"BARRETT &amp; SONS  INC."</f>
        <v>BARRETT &amp; SONS  INC.</v>
      </c>
      <c r="J525" s="2">
        <v>2308</v>
      </c>
    </row>
    <row r="526" spans="7:10" ht="15">
      <c r="G526" t="s">
        <v>13</v>
      </c>
      <c r="H526" t="str">
        <f>"27577"</f>
        <v>27577</v>
      </c>
      <c r="I526" t="str">
        <f>"BARRETT &amp; SONS  INC."</f>
        <v>BARRETT &amp; SONS  INC.</v>
      </c>
      <c r="J526" s="2">
        <v>579.59</v>
      </c>
    </row>
    <row r="527" spans="1:10" ht="15">
      <c r="A527" t="s">
        <v>171</v>
      </c>
      <c r="B527" t="s">
        <v>11</v>
      </c>
      <c r="C527">
        <v>52787</v>
      </c>
      <c r="D527" s="2">
        <v>47.96</v>
      </c>
      <c r="E527" s="1">
        <v>42677</v>
      </c>
      <c r="F527" t="s">
        <v>18</v>
      </c>
      <c r="G527" t="s">
        <v>13</v>
      </c>
      <c r="H527" t="str">
        <f>"TRAVEL"</f>
        <v>TRAVEL</v>
      </c>
      <c r="I527" t="str">
        <f>"ANDREA MARTINEZ"</f>
        <v>ANDREA MARTINEZ</v>
      </c>
      <c r="J527" s="2">
        <v>47.96</v>
      </c>
    </row>
    <row r="528" spans="1:10" ht="15">
      <c r="A528" t="s">
        <v>67</v>
      </c>
      <c r="B528" t="s">
        <v>11</v>
      </c>
      <c r="C528">
        <v>52788</v>
      </c>
      <c r="D528" s="2">
        <v>270</v>
      </c>
      <c r="E528" s="1">
        <v>42677</v>
      </c>
      <c r="F528" t="s">
        <v>18</v>
      </c>
      <c r="G528" t="s">
        <v>13</v>
      </c>
      <c r="H528" t="str">
        <f>"11/2/2016"</f>
        <v>11/2/2016</v>
      </c>
      <c r="I528" t="str">
        <f>"MARIA GONZALES"</f>
        <v>MARIA GONZALES</v>
      </c>
      <c r="J528" s="2">
        <v>270</v>
      </c>
    </row>
    <row r="529" spans="1:10" ht="15">
      <c r="A529" t="s">
        <v>68</v>
      </c>
      <c r="B529" t="s">
        <v>11</v>
      </c>
      <c r="C529">
        <v>52789</v>
      </c>
      <c r="D529" s="2">
        <v>539.29</v>
      </c>
      <c r="E529" s="1">
        <v>42677</v>
      </c>
      <c r="F529" t="s">
        <v>18</v>
      </c>
      <c r="G529" t="s">
        <v>13</v>
      </c>
      <c r="H529" t="str">
        <f>"871499855001"</f>
        <v>871499855001</v>
      </c>
      <c r="I529" t="str">
        <f aca="true" t="shared" si="12" ref="I529:I534">"OFFICE DEPOT  INC."</f>
        <v>OFFICE DEPOT  INC.</v>
      </c>
      <c r="J529" s="2">
        <v>125.12</v>
      </c>
    </row>
    <row r="530" spans="7:10" ht="15">
      <c r="G530" t="s">
        <v>13</v>
      </c>
      <c r="H530" t="str">
        <f>"871711456001"</f>
        <v>871711456001</v>
      </c>
      <c r="I530" t="str">
        <f t="shared" si="12"/>
        <v>OFFICE DEPOT  INC.</v>
      </c>
      <c r="J530" s="2">
        <v>129.9</v>
      </c>
    </row>
    <row r="531" spans="7:10" ht="15">
      <c r="G531" t="s">
        <v>13</v>
      </c>
      <c r="H531" t="str">
        <f>"871711789001"</f>
        <v>871711789001</v>
      </c>
      <c r="I531" t="str">
        <f t="shared" si="12"/>
        <v>OFFICE DEPOT  INC.</v>
      </c>
      <c r="J531" s="2">
        <v>32.99</v>
      </c>
    </row>
    <row r="532" spans="7:10" ht="15">
      <c r="G532" t="s">
        <v>13</v>
      </c>
      <c r="H532" t="str">
        <f>"872551047001"</f>
        <v>872551047001</v>
      </c>
      <c r="I532" t="str">
        <f t="shared" si="12"/>
        <v>OFFICE DEPOT  INC.</v>
      </c>
      <c r="J532" s="2">
        <v>2.64</v>
      </c>
    </row>
    <row r="533" spans="7:10" ht="15">
      <c r="G533" t="s">
        <v>13</v>
      </c>
      <c r="H533" t="str">
        <f>"872551048001"</f>
        <v>872551048001</v>
      </c>
      <c r="I533" t="str">
        <f t="shared" si="12"/>
        <v>OFFICE DEPOT  INC.</v>
      </c>
      <c r="J533" s="2">
        <v>44.28</v>
      </c>
    </row>
    <row r="534" spans="7:10" ht="15">
      <c r="G534" t="s">
        <v>13</v>
      </c>
      <c r="H534" t="str">
        <f>"87550615001"</f>
        <v>87550615001</v>
      </c>
      <c r="I534" t="str">
        <f t="shared" si="12"/>
        <v>OFFICE DEPOT  INC.</v>
      </c>
      <c r="J534" s="2">
        <v>204.36</v>
      </c>
    </row>
    <row r="535" spans="1:10" ht="15">
      <c r="A535" t="s">
        <v>70</v>
      </c>
      <c r="B535" t="s">
        <v>11</v>
      </c>
      <c r="C535">
        <v>52791</v>
      </c>
      <c r="D535" s="2">
        <v>121.9</v>
      </c>
      <c r="E535" s="1">
        <v>42677</v>
      </c>
      <c r="F535" t="s">
        <v>18</v>
      </c>
      <c r="G535" t="s">
        <v>13</v>
      </c>
      <c r="H535" t="str">
        <f>"1425708"</f>
        <v>1425708</v>
      </c>
      <c r="I535" t="str">
        <f>"OMNIBUS-M  INC.D.B.A."</f>
        <v>OMNIBUS-M  INC.D.B.A.</v>
      </c>
      <c r="J535" s="2">
        <v>51.95</v>
      </c>
    </row>
    <row r="536" spans="7:10" ht="15">
      <c r="G536" t="s">
        <v>13</v>
      </c>
      <c r="H536" t="str">
        <f>"1425709"</f>
        <v>1425709</v>
      </c>
      <c r="I536" t="str">
        <f>"OMNIBUS-M  INC.D.B.A."</f>
        <v>OMNIBUS-M  INC.D.B.A.</v>
      </c>
      <c r="J536" s="2">
        <v>69.95</v>
      </c>
    </row>
    <row r="537" spans="1:10" ht="15">
      <c r="A537" t="s">
        <v>119</v>
      </c>
      <c r="B537" t="s">
        <v>11</v>
      </c>
      <c r="C537">
        <v>52792</v>
      </c>
      <c r="D537" s="2">
        <v>823.36</v>
      </c>
      <c r="E537" s="1">
        <v>42677</v>
      </c>
      <c r="F537" t="s">
        <v>18</v>
      </c>
      <c r="G537" t="s">
        <v>13</v>
      </c>
      <c r="H537" t="str">
        <f>"857002079-16"</f>
        <v>857002079-16</v>
      </c>
      <c r="I537" t="str">
        <f>"DPC INDUSTRIES  INC."</f>
        <v>DPC INDUSTRIES  INC.</v>
      </c>
      <c r="J537" s="2">
        <v>823.36</v>
      </c>
    </row>
    <row r="538" spans="1:10" ht="15">
      <c r="A538" t="s">
        <v>172</v>
      </c>
      <c r="B538" t="s">
        <v>11</v>
      </c>
      <c r="C538">
        <v>52793</v>
      </c>
      <c r="D538" s="2">
        <v>3000</v>
      </c>
      <c r="E538" s="1">
        <v>42677</v>
      </c>
      <c r="F538" t="s">
        <v>18</v>
      </c>
      <c r="G538" t="s">
        <v>13</v>
      </c>
      <c r="H538" t="str">
        <f>"6489"</f>
        <v>6489</v>
      </c>
      <c r="I538" t="str">
        <f>"SAN ANTONIO RIVER AUTHORITY"</f>
        <v>SAN ANTONIO RIVER AUTHORITY</v>
      </c>
      <c r="J538" s="2">
        <v>3000</v>
      </c>
    </row>
    <row r="539" spans="1:10" ht="15">
      <c r="A539" t="s">
        <v>120</v>
      </c>
      <c r="B539" t="s">
        <v>11</v>
      </c>
      <c r="C539">
        <v>52794</v>
      </c>
      <c r="D539" s="2">
        <v>162.07</v>
      </c>
      <c r="E539" s="1">
        <v>42677</v>
      </c>
      <c r="F539" t="s">
        <v>18</v>
      </c>
      <c r="G539" t="s">
        <v>13</v>
      </c>
      <c r="H539" t="str">
        <f>"11136608"</f>
        <v>11136608</v>
      </c>
      <c r="I539" t="str">
        <f>"MCCOY'S CORPORATION"</f>
        <v>MCCOY'S CORPORATION</v>
      </c>
      <c r="J539" s="2">
        <v>13.28</v>
      </c>
    </row>
    <row r="540" spans="7:10" ht="15">
      <c r="G540" t="s">
        <v>13</v>
      </c>
      <c r="H540" t="str">
        <f>"11136622"</f>
        <v>11136622</v>
      </c>
      <c r="I540" t="str">
        <f>"MCCOY'S CORPORATION"</f>
        <v>MCCOY'S CORPORATION</v>
      </c>
      <c r="J540" s="2">
        <v>59.84</v>
      </c>
    </row>
    <row r="541" spans="7:10" ht="15">
      <c r="G541" t="s">
        <v>13</v>
      </c>
      <c r="H541" t="str">
        <f>"11136757"</f>
        <v>11136757</v>
      </c>
      <c r="I541" t="str">
        <f>"MCCOY'S CORPORATION"</f>
        <v>MCCOY'S CORPORATION</v>
      </c>
      <c r="J541" s="2">
        <v>51.6</v>
      </c>
    </row>
    <row r="542" spans="7:10" ht="15">
      <c r="G542" t="s">
        <v>13</v>
      </c>
      <c r="H542" t="str">
        <f>"11137275"</f>
        <v>11137275</v>
      </c>
      <c r="I542" t="str">
        <f>"MCCOY'S CORPORATION"</f>
        <v>MCCOY'S CORPORATION</v>
      </c>
      <c r="J542" s="2">
        <v>37.35</v>
      </c>
    </row>
    <row r="543" spans="1:10" ht="15">
      <c r="A543" t="s">
        <v>173</v>
      </c>
      <c r="B543" t="s">
        <v>11</v>
      </c>
      <c r="C543">
        <v>52795</v>
      </c>
      <c r="D543" s="2">
        <v>3860</v>
      </c>
      <c r="E543" s="1">
        <v>42677</v>
      </c>
      <c r="F543" t="s">
        <v>18</v>
      </c>
      <c r="G543" t="s">
        <v>13</v>
      </c>
      <c r="H543" t="str">
        <f>"16-0340"</f>
        <v>16-0340</v>
      </c>
      <c r="I543" t="str">
        <f>"INTREPID SURVEYING CORPORATION"</f>
        <v>INTREPID SURVEYING CORPORATION</v>
      </c>
      <c r="J543" s="2">
        <v>3860</v>
      </c>
    </row>
    <row r="544" spans="1:10" ht="15">
      <c r="A544" t="s">
        <v>174</v>
      </c>
      <c r="B544" t="s">
        <v>11</v>
      </c>
      <c r="C544">
        <v>52796</v>
      </c>
      <c r="D544" s="2">
        <v>2500</v>
      </c>
      <c r="E544" s="1">
        <v>42677</v>
      </c>
      <c r="F544" t="s">
        <v>18</v>
      </c>
      <c r="G544" t="s">
        <v>13</v>
      </c>
      <c r="H544" t="str">
        <f>"16054*"</f>
        <v>16054*</v>
      </c>
      <c r="I544" t="str">
        <f>"AB WOODWORKS"</f>
        <v>AB WOODWORKS</v>
      </c>
      <c r="J544" s="2">
        <v>2500</v>
      </c>
    </row>
    <row r="545" spans="1:10" ht="15">
      <c r="A545" t="s">
        <v>73</v>
      </c>
      <c r="B545" t="s">
        <v>11</v>
      </c>
      <c r="C545">
        <v>52797</v>
      </c>
      <c r="D545" s="2">
        <v>102.09</v>
      </c>
      <c r="E545" s="1">
        <v>42677</v>
      </c>
      <c r="F545" t="s">
        <v>18</v>
      </c>
      <c r="G545" t="s">
        <v>13</v>
      </c>
      <c r="H545" t="str">
        <f>"5-584-27332"</f>
        <v>5-584-27332</v>
      </c>
      <c r="I545" t="str">
        <f>"FEDEX"</f>
        <v>FEDEX</v>
      </c>
      <c r="J545" s="2">
        <v>19.83</v>
      </c>
    </row>
    <row r="546" spans="7:10" ht="15">
      <c r="G546" t="s">
        <v>13</v>
      </c>
      <c r="H546" t="str">
        <f>"5-591-93549"</f>
        <v>5-591-93549</v>
      </c>
      <c r="I546" t="str">
        <f>"FEDEX"</f>
        <v>FEDEX</v>
      </c>
      <c r="J546" s="2">
        <v>82.26</v>
      </c>
    </row>
    <row r="547" spans="1:10" ht="15">
      <c r="A547" t="s">
        <v>102</v>
      </c>
      <c r="B547" t="s">
        <v>11</v>
      </c>
      <c r="C547">
        <v>52798</v>
      </c>
      <c r="D547" s="2">
        <v>750</v>
      </c>
      <c r="E547" s="1">
        <v>42677</v>
      </c>
      <c r="F547" t="s">
        <v>18</v>
      </c>
      <c r="G547" t="s">
        <v>13</v>
      </c>
      <c r="H547" t="str">
        <f>"1648-20161101-1"</f>
        <v>1648-20161101-1</v>
      </c>
      <c r="I547" t="str">
        <f>"LVWIFI.COM"</f>
        <v>LVWIFI.COM</v>
      </c>
      <c r="J547" s="2">
        <v>750</v>
      </c>
    </row>
    <row r="548" spans="1:10" ht="15">
      <c r="A548" t="s">
        <v>175</v>
      </c>
      <c r="B548" t="s">
        <v>11</v>
      </c>
      <c r="C548">
        <v>52799</v>
      </c>
      <c r="D548" s="2">
        <v>320.89</v>
      </c>
      <c r="E548" s="1">
        <v>42677</v>
      </c>
      <c r="F548" t="s">
        <v>18</v>
      </c>
      <c r="G548" t="s">
        <v>13</v>
      </c>
      <c r="H548" t="str">
        <f>"19883"</f>
        <v>19883</v>
      </c>
      <c r="I548" t="str">
        <f>"ANGEL FIRE &amp; SAFETY"</f>
        <v>ANGEL FIRE &amp; SAFETY</v>
      </c>
      <c r="J548" s="2">
        <v>95</v>
      </c>
    </row>
    <row r="549" spans="7:10" ht="15">
      <c r="G549" t="s">
        <v>13</v>
      </c>
      <c r="H549" t="str">
        <f>"20082"</f>
        <v>20082</v>
      </c>
      <c r="I549" t="str">
        <f>"ANGEL FIRE &amp; SAFETY"</f>
        <v>ANGEL FIRE &amp; SAFETY</v>
      </c>
      <c r="J549" s="2">
        <v>65</v>
      </c>
    </row>
    <row r="550" spans="7:10" ht="15">
      <c r="G550" t="s">
        <v>13</v>
      </c>
      <c r="H550" t="str">
        <f>"FC89"</f>
        <v>FC89</v>
      </c>
      <c r="I550" t="str">
        <f>"ANGEL FIRE &amp; SAFETY"</f>
        <v>ANGEL FIRE &amp; SAFETY</v>
      </c>
      <c r="J550" s="2">
        <v>160.89</v>
      </c>
    </row>
    <row r="551" spans="1:10" ht="15">
      <c r="A551" t="s">
        <v>75</v>
      </c>
      <c r="B551" t="s">
        <v>11</v>
      </c>
      <c r="C551">
        <v>52800</v>
      </c>
      <c r="D551" s="2">
        <v>2000</v>
      </c>
      <c r="E551" s="1">
        <v>42677</v>
      </c>
      <c r="F551" t="s">
        <v>18</v>
      </c>
      <c r="G551" t="s">
        <v>13</v>
      </c>
      <c r="H551" t="str">
        <f>"2016130"</f>
        <v>2016130</v>
      </c>
      <c r="I551" t="str">
        <f>"THE LAW OFFICE OF TOM CALDWELL"</f>
        <v>THE LAW OFFICE OF TOM CALDWELL</v>
      </c>
      <c r="J551" s="2">
        <v>2000</v>
      </c>
    </row>
    <row r="552" spans="1:10" ht="15">
      <c r="A552" t="s">
        <v>123</v>
      </c>
      <c r="B552" t="s">
        <v>11</v>
      </c>
      <c r="C552">
        <v>52801</v>
      </c>
      <c r="D552" s="2">
        <v>2409.62</v>
      </c>
      <c r="E552" s="1">
        <v>42677</v>
      </c>
      <c r="F552" t="s">
        <v>18</v>
      </c>
      <c r="G552" t="s">
        <v>13</v>
      </c>
      <c r="H552" t="str">
        <f>"51974072"</f>
        <v>51974072</v>
      </c>
      <c r="I552" t="str">
        <f>"DE LAGE LANDEN PUBLIC FINANCE"</f>
        <v>DE LAGE LANDEN PUBLIC FINANCE</v>
      </c>
      <c r="J552" s="2">
        <v>222.23</v>
      </c>
    </row>
    <row r="553" spans="7:10" ht="15">
      <c r="G553" t="s">
        <v>13</v>
      </c>
      <c r="H553" t="str">
        <f>"51974083"</f>
        <v>51974083</v>
      </c>
      <c r="I553" t="str">
        <f>"DE LAGE LANDEN PUBLIC FINANCE"</f>
        <v>DE LAGE LANDEN PUBLIC FINANCE</v>
      </c>
      <c r="J553" s="2">
        <v>96.79</v>
      </c>
    </row>
    <row r="554" spans="7:10" ht="15">
      <c r="G554" t="s">
        <v>13</v>
      </c>
      <c r="H554" t="str">
        <f>"51974111"</f>
        <v>51974111</v>
      </c>
      <c r="I554" t="str">
        <f>"DE LAGE LANDEN PUBLIC FINANCE"</f>
        <v>DE LAGE LANDEN PUBLIC FINANCE</v>
      </c>
      <c r="J554" s="2">
        <v>2090.6</v>
      </c>
    </row>
    <row r="555" spans="1:10" ht="15">
      <c r="A555" t="s">
        <v>124</v>
      </c>
      <c r="B555" t="s">
        <v>11</v>
      </c>
      <c r="C555">
        <v>52803</v>
      </c>
      <c r="D555" s="2">
        <v>1170</v>
      </c>
      <c r="E555" s="1">
        <v>42677</v>
      </c>
      <c r="F555" t="s">
        <v>18</v>
      </c>
      <c r="G555" t="s">
        <v>13</v>
      </c>
      <c r="H555" t="str">
        <f>"1403"</f>
        <v>1403</v>
      </c>
      <c r="I555" t="str">
        <f>"CASARES SAND PIT &amp; TRUCKING  I"</f>
        <v>CASARES SAND PIT &amp; TRUCKING  I</v>
      </c>
      <c r="J555" s="2">
        <v>1170</v>
      </c>
    </row>
    <row r="556" spans="1:10" ht="15">
      <c r="A556" t="s">
        <v>77</v>
      </c>
      <c r="B556" t="s">
        <v>11</v>
      </c>
      <c r="C556">
        <v>52804</v>
      </c>
      <c r="D556" s="2">
        <v>6.39</v>
      </c>
      <c r="E556" s="1">
        <v>42677</v>
      </c>
      <c r="F556" t="s">
        <v>18</v>
      </c>
      <c r="G556" t="s">
        <v>13</v>
      </c>
      <c r="H556" t="str">
        <f>"011391"</f>
        <v>011391</v>
      </c>
      <c r="I556" t="str">
        <f>"R &amp; S TEXAS PARTS CO"</f>
        <v>R &amp; S TEXAS PARTS CO</v>
      </c>
      <c r="J556" s="2">
        <v>6.39</v>
      </c>
    </row>
    <row r="557" spans="1:10" ht="15">
      <c r="A557" t="s">
        <v>79</v>
      </c>
      <c r="B557" t="s">
        <v>11</v>
      </c>
      <c r="C557">
        <v>52805</v>
      </c>
      <c r="D557" s="2">
        <v>925</v>
      </c>
      <c r="E557" s="1">
        <v>42677</v>
      </c>
      <c r="F557" t="s">
        <v>18</v>
      </c>
      <c r="G557" t="s">
        <v>13</v>
      </c>
      <c r="H557" t="str">
        <f>"149985"</f>
        <v>149985</v>
      </c>
      <c r="I557" t="str">
        <f>"APPRIVER"</f>
        <v>APPRIVER</v>
      </c>
      <c r="J557" s="2">
        <v>925</v>
      </c>
    </row>
    <row r="558" spans="1:10" ht="15">
      <c r="A558" t="s">
        <v>80</v>
      </c>
      <c r="B558" t="s">
        <v>11</v>
      </c>
      <c r="C558">
        <v>52806</v>
      </c>
      <c r="D558" s="2">
        <v>2701.9</v>
      </c>
      <c r="E558" s="1">
        <v>42677</v>
      </c>
      <c r="F558" t="s">
        <v>18</v>
      </c>
      <c r="G558" t="s">
        <v>13</v>
      </c>
      <c r="H558" t="str">
        <f>"060004803"</f>
        <v>060004803</v>
      </c>
      <c r="I558" t="str">
        <f>"RAIN FOR RENT"</f>
        <v>RAIN FOR RENT</v>
      </c>
      <c r="J558" s="2">
        <v>631.25</v>
      </c>
    </row>
    <row r="559" spans="7:10" ht="15">
      <c r="G559" t="s">
        <v>13</v>
      </c>
      <c r="H559" t="str">
        <f>"060004863"</f>
        <v>060004863</v>
      </c>
      <c r="I559" t="str">
        <f>"RAIN FOR RENT"</f>
        <v>RAIN FOR RENT</v>
      </c>
      <c r="J559" s="2">
        <v>10.26</v>
      </c>
    </row>
    <row r="560" spans="7:10" ht="15">
      <c r="G560" t="s">
        <v>13</v>
      </c>
      <c r="H560" t="str">
        <f>"060004923"</f>
        <v>060004923</v>
      </c>
      <c r="I560" t="str">
        <f>"RAIN FOR RENT"</f>
        <v>RAIN FOR RENT</v>
      </c>
      <c r="J560" s="2">
        <v>10.26</v>
      </c>
    </row>
    <row r="561" spans="7:10" ht="15">
      <c r="G561" t="s">
        <v>13</v>
      </c>
      <c r="H561" t="str">
        <f>"060004954"</f>
        <v>060004954</v>
      </c>
      <c r="I561" t="str">
        <f>"RAIN FOR RENT"</f>
        <v>RAIN FOR RENT</v>
      </c>
      <c r="J561" s="2">
        <v>10.13</v>
      </c>
    </row>
    <row r="562" spans="7:10" ht="15">
      <c r="G562" t="s">
        <v>13</v>
      </c>
      <c r="H562" t="str">
        <f>"089017547"</f>
        <v>089017547</v>
      </c>
      <c r="I562" t="str">
        <f>"RAIN FOR RENT"</f>
        <v>RAIN FOR RENT</v>
      </c>
      <c r="J562" s="2">
        <v>2040</v>
      </c>
    </row>
    <row r="563" spans="1:10" ht="15">
      <c r="A563" t="s">
        <v>81</v>
      </c>
      <c r="B563" t="s">
        <v>11</v>
      </c>
      <c r="C563">
        <v>52807</v>
      </c>
      <c r="D563" s="2">
        <v>719.65</v>
      </c>
      <c r="E563" s="1">
        <v>42677</v>
      </c>
      <c r="F563" t="s">
        <v>18</v>
      </c>
      <c r="G563" t="s">
        <v>13</v>
      </c>
      <c r="H563" t="str">
        <f>"201611017734"</f>
        <v>201611017734</v>
      </c>
      <c r="I563" t="str">
        <f aca="true" t="shared" si="13" ref="I563:I570">"FRONTIER"</f>
        <v>FRONTIER</v>
      </c>
      <c r="J563" s="2">
        <v>54.87</v>
      </c>
    </row>
    <row r="564" spans="7:10" ht="15">
      <c r="G564" t="s">
        <v>13</v>
      </c>
      <c r="H564" t="str">
        <f>"201611017735"</f>
        <v>201611017735</v>
      </c>
      <c r="I564" t="str">
        <f t="shared" si="13"/>
        <v>FRONTIER</v>
      </c>
      <c r="J564" s="2">
        <v>35.16</v>
      </c>
    </row>
    <row r="565" spans="7:10" ht="15">
      <c r="G565" t="s">
        <v>13</v>
      </c>
      <c r="H565" t="str">
        <f>"201611017736"</f>
        <v>201611017736</v>
      </c>
      <c r="I565" t="str">
        <f t="shared" si="13"/>
        <v>FRONTIER</v>
      </c>
      <c r="J565" s="2">
        <v>34.05</v>
      </c>
    </row>
    <row r="566" spans="7:10" ht="15">
      <c r="G566" t="s">
        <v>13</v>
      </c>
      <c r="H566" t="str">
        <f>"201611017737"</f>
        <v>201611017737</v>
      </c>
      <c r="I566" t="str">
        <f t="shared" si="13"/>
        <v>FRONTIER</v>
      </c>
      <c r="J566" s="2">
        <v>31.59</v>
      </c>
    </row>
    <row r="567" spans="7:10" ht="15">
      <c r="G567" t="s">
        <v>13</v>
      </c>
      <c r="H567" t="str">
        <f>"201611017738"</f>
        <v>201611017738</v>
      </c>
      <c r="I567" t="str">
        <f t="shared" si="13"/>
        <v>FRONTIER</v>
      </c>
      <c r="J567" s="2">
        <v>63.17</v>
      </c>
    </row>
    <row r="568" spans="7:10" ht="15">
      <c r="G568" t="s">
        <v>13</v>
      </c>
      <c r="H568" t="str">
        <f>"201611017739"</f>
        <v>201611017739</v>
      </c>
      <c r="I568" t="str">
        <f t="shared" si="13"/>
        <v>FRONTIER</v>
      </c>
      <c r="J568" s="2">
        <v>32.7</v>
      </c>
    </row>
    <row r="569" spans="7:10" ht="15">
      <c r="G569" t="s">
        <v>13</v>
      </c>
      <c r="H569" t="str">
        <f>"201611017741"</f>
        <v>201611017741</v>
      </c>
      <c r="I569" t="str">
        <f t="shared" si="13"/>
        <v>FRONTIER</v>
      </c>
      <c r="J569" s="2">
        <v>32.7</v>
      </c>
    </row>
    <row r="570" spans="7:10" ht="15">
      <c r="G570" t="s">
        <v>13</v>
      </c>
      <c r="H570" t="str">
        <f>"201611027743"</f>
        <v>201611027743</v>
      </c>
      <c r="I570" t="str">
        <f t="shared" si="13"/>
        <v>FRONTIER</v>
      </c>
      <c r="J570" s="2">
        <v>435.41</v>
      </c>
    </row>
    <row r="571" spans="1:10" ht="15">
      <c r="A571" t="s">
        <v>176</v>
      </c>
      <c r="B571" t="s">
        <v>11</v>
      </c>
      <c r="C571">
        <v>52809</v>
      </c>
      <c r="D571" s="2">
        <v>14.76</v>
      </c>
      <c r="E571" s="1">
        <v>42677</v>
      </c>
      <c r="F571" t="s">
        <v>18</v>
      </c>
      <c r="G571" t="s">
        <v>13</v>
      </c>
      <c r="H571" t="str">
        <f>"794355788"</f>
        <v>794355788</v>
      </c>
      <c r="I571" t="str">
        <f>"NORTH TEXAS TOLLWAY AUTHORITY"</f>
        <v>NORTH TEXAS TOLLWAY AUTHORITY</v>
      </c>
      <c r="J571" s="2">
        <v>14.76</v>
      </c>
    </row>
    <row r="572" spans="1:10" ht="15">
      <c r="A572" t="s">
        <v>177</v>
      </c>
      <c r="B572" t="s">
        <v>11</v>
      </c>
      <c r="C572">
        <v>52810</v>
      </c>
      <c r="D572" s="2">
        <v>387</v>
      </c>
      <c r="E572" s="1">
        <v>42677</v>
      </c>
      <c r="F572" t="s">
        <v>18</v>
      </c>
      <c r="G572" t="s">
        <v>13</v>
      </c>
      <c r="H572" t="str">
        <f>"AH0031414716"</f>
        <v>AH0031414716</v>
      </c>
      <c r="I572" t="str">
        <f>"CHILDRENS HOSPITAL OF SAN ANTO"</f>
        <v>CHILDRENS HOSPITAL OF SAN ANTO</v>
      </c>
      <c r="J572" s="2">
        <v>387</v>
      </c>
    </row>
    <row r="573" spans="1:10" ht="15">
      <c r="A573" t="s">
        <v>178</v>
      </c>
      <c r="B573" t="s">
        <v>11</v>
      </c>
      <c r="C573">
        <v>52811</v>
      </c>
      <c r="D573" s="2">
        <v>1365.22</v>
      </c>
      <c r="E573" s="1">
        <v>42677</v>
      </c>
      <c r="F573" t="s">
        <v>18</v>
      </c>
      <c r="G573" t="s">
        <v>13</v>
      </c>
      <c r="H573" t="str">
        <f>"0034335"</f>
        <v>0034335</v>
      </c>
      <c r="I573" t="str">
        <f>"CLOSNER EQUIPMENT CO. INC."</f>
        <v>CLOSNER EQUIPMENT CO. INC.</v>
      </c>
      <c r="J573" s="2">
        <v>1365.22</v>
      </c>
    </row>
    <row r="574" spans="1:10" ht="15">
      <c r="A574" t="s">
        <v>179</v>
      </c>
      <c r="B574" t="s">
        <v>11</v>
      </c>
      <c r="C574">
        <v>52812</v>
      </c>
      <c r="D574" s="2">
        <v>70</v>
      </c>
      <c r="E574" s="1">
        <v>42677</v>
      </c>
      <c r="F574" t="s">
        <v>18</v>
      </c>
      <c r="G574" t="s">
        <v>13</v>
      </c>
      <c r="H574" t="str">
        <f>"20221"</f>
        <v>20221</v>
      </c>
      <c r="I574" t="str">
        <f>"PFEIL'S HOME &amp; GARDEN MATERIAL"</f>
        <v>PFEIL'S HOME &amp; GARDEN MATERIAL</v>
      </c>
      <c r="J574" s="2">
        <v>70</v>
      </c>
    </row>
    <row r="575" spans="1:10" ht="15">
      <c r="A575" t="s">
        <v>180</v>
      </c>
      <c r="B575" t="s">
        <v>11</v>
      </c>
      <c r="C575">
        <v>52813</v>
      </c>
      <c r="D575" s="2">
        <v>250</v>
      </c>
      <c r="E575" s="1">
        <v>42677</v>
      </c>
      <c r="F575" t="s">
        <v>18</v>
      </c>
      <c r="G575" t="s">
        <v>13</v>
      </c>
      <c r="H575" t="str">
        <f>"4617"</f>
        <v>4617</v>
      </c>
      <c r="I575" t="str">
        <f>"HITS  INC"</f>
        <v>HITS  INC</v>
      </c>
      <c r="J575" s="2">
        <v>250</v>
      </c>
    </row>
    <row r="576" spans="1:10" ht="15">
      <c r="A576" t="s">
        <v>181</v>
      </c>
      <c r="B576" t="s">
        <v>11</v>
      </c>
      <c r="C576">
        <v>52814</v>
      </c>
      <c r="D576" s="2">
        <v>1612.98</v>
      </c>
      <c r="E576" s="1">
        <v>42677</v>
      </c>
      <c r="F576" t="s">
        <v>18</v>
      </c>
      <c r="G576" t="s">
        <v>13</v>
      </c>
      <c r="H576" t="str">
        <f>"4"</f>
        <v>4</v>
      </c>
      <c r="I576" t="str">
        <f>"WESTON SIGNS LLC"</f>
        <v>WESTON SIGNS LLC</v>
      </c>
      <c r="J576" s="2">
        <v>1612.98</v>
      </c>
    </row>
    <row r="577" spans="1:10" ht="15">
      <c r="A577" t="s">
        <v>182</v>
      </c>
      <c r="B577" t="s">
        <v>11</v>
      </c>
      <c r="C577">
        <v>52815</v>
      </c>
      <c r="D577" s="2">
        <v>120</v>
      </c>
      <c r="E577" s="1">
        <v>42677</v>
      </c>
      <c r="F577" t="s">
        <v>18</v>
      </c>
      <c r="G577" t="s">
        <v>13</v>
      </c>
      <c r="H577" t="str">
        <f>"201611037765"</f>
        <v>201611037765</v>
      </c>
      <c r="I577" t="str">
        <f>"TRAIN REF"</f>
        <v>TRAIN REF</v>
      </c>
      <c r="J577" s="2">
        <v>120</v>
      </c>
    </row>
    <row r="578" spans="1:10" ht="15">
      <c r="A578" t="s">
        <v>47</v>
      </c>
      <c r="B578" t="s">
        <v>11</v>
      </c>
      <c r="C578">
        <v>52816</v>
      </c>
      <c r="D578" s="2">
        <v>2156.29</v>
      </c>
      <c r="E578" s="1">
        <v>42677</v>
      </c>
      <c r="F578" t="s">
        <v>18</v>
      </c>
      <c r="G578" t="s">
        <v>13</v>
      </c>
      <c r="H578" t="str">
        <f>"201611037767"</f>
        <v>201611037767</v>
      </c>
      <c r="I578" t="str">
        <f>"CITY OF FLORESVILLE"</f>
        <v>CITY OF FLORESVILLE</v>
      </c>
      <c r="J578" s="2">
        <v>2156.29</v>
      </c>
    </row>
    <row r="579" spans="1:10" ht="15">
      <c r="A579" t="s">
        <v>104</v>
      </c>
      <c r="B579" t="s">
        <v>11</v>
      </c>
      <c r="C579">
        <v>52819</v>
      </c>
      <c r="D579" s="2">
        <v>233.59</v>
      </c>
      <c r="E579" s="1">
        <v>42677</v>
      </c>
      <c r="F579" t="s">
        <v>18</v>
      </c>
      <c r="G579" t="s">
        <v>13</v>
      </c>
      <c r="H579" t="str">
        <f>"201611037766"</f>
        <v>201611037766</v>
      </c>
      <c r="I579" t="str">
        <f>"CITY OF FLORESVILLE -PETTY CAS"</f>
        <v>CITY OF FLORESVILLE -PETTY CAS</v>
      </c>
      <c r="J579" s="2">
        <v>233.59</v>
      </c>
    </row>
    <row r="580" spans="1:10" ht="15">
      <c r="A580" t="s">
        <v>183</v>
      </c>
      <c r="B580" t="s">
        <v>11</v>
      </c>
      <c r="C580">
        <v>52820</v>
      </c>
      <c r="D580" s="2">
        <v>5350</v>
      </c>
      <c r="E580" s="1">
        <v>42677</v>
      </c>
      <c r="F580" t="s">
        <v>18</v>
      </c>
      <c r="G580" t="s">
        <v>13</v>
      </c>
      <c r="H580" t="str">
        <f>"150555"</f>
        <v>150555</v>
      </c>
      <c r="I580" t="str">
        <f>"AMER TECHNOLOGY  INC."</f>
        <v>AMER TECHNOLOGY  INC.</v>
      </c>
      <c r="J580" s="2">
        <v>5000</v>
      </c>
    </row>
    <row r="581" spans="7:10" ht="15">
      <c r="G581" t="s">
        <v>13</v>
      </c>
      <c r="H581" t="str">
        <f>"150581"</f>
        <v>150581</v>
      </c>
      <c r="I581" t="str">
        <f>"AMER TECHNOLOGY  INC."</f>
        <v>AMER TECHNOLOGY  INC.</v>
      </c>
      <c r="J581" s="2">
        <v>350</v>
      </c>
    </row>
    <row r="582" spans="1:10" ht="15">
      <c r="A582" t="s">
        <v>35</v>
      </c>
      <c r="B582" t="s">
        <v>11</v>
      </c>
      <c r="C582">
        <v>52821</v>
      </c>
      <c r="D582" s="2">
        <v>1699.81</v>
      </c>
      <c r="E582" s="1">
        <v>42677</v>
      </c>
      <c r="F582" t="s">
        <v>18</v>
      </c>
      <c r="G582" t="s">
        <v>13</v>
      </c>
      <c r="H582" t="str">
        <f>"1749"</f>
        <v>1749</v>
      </c>
      <c r="I582" t="str">
        <f>"F.E.L.P.S."</f>
        <v>F.E.L.P.S.</v>
      </c>
      <c r="J582" s="2">
        <v>1699.81</v>
      </c>
    </row>
    <row r="583" spans="1:10" ht="15">
      <c r="A583" t="s">
        <v>184</v>
      </c>
      <c r="B583" t="s">
        <v>11</v>
      </c>
      <c r="C583">
        <v>52822</v>
      </c>
      <c r="D583" s="2">
        <v>3500</v>
      </c>
      <c r="E583" s="1">
        <v>42677</v>
      </c>
      <c r="F583" t="s">
        <v>18</v>
      </c>
      <c r="G583" t="s">
        <v>13</v>
      </c>
      <c r="H583" t="str">
        <f>"HOL EXT"</f>
        <v>HOL EXT</v>
      </c>
      <c r="I583" t="str">
        <f>"BILL ANGELINI"</f>
        <v>BILL ANGELINI</v>
      </c>
      <c r="J583" s="2">
        <v>3500</v>
      </c>
    </row>
    <row r="584" spans="1:10" ht="15">
      <c r="A584" t="s">
        <v>185</v>
      </c>
      <c r="B584" t="s">
        <v>11</v>
      </c>
      <c r="C584">
        <v>52823</v>
      </c>
      <c r="D584" s="2">
        <v>60000</v>
      </c>
      <c r="E584" s="1">
        <v>42682</v>
      </c>
      <c r="F584" t="s">
        <v>18</v>
      </c>
      <c r="G584" t="s">
        <v>13</v>
      </c>
      <c r="H584" t="str">
        <f>"201611087768"</f>
        <v>201611087768</v>
      </c>
      <c r="I584" t="str">
        <f>"TETON OILFIELD SERVICES"</f>
        <v>TETON OILFIELD SERVICES</v>
      </c>
      <c r="J584" s="2">
        <v>60000</v>
      </c>
    </row>
    <row r="585" spans="1:10" ht="15">
      <c r="A585" t="s">
        <v>21</v>
      </c>
      <c r="B585" t="s">
        <v>11</v>
      </c>
      <c r="C585">
        <v>52824</v>
      </c>
      <c r="D585" s="2">
        <v>2704.32</v>
      </c>
      <c r="E585" s="1">
        <v>42682</v>
      </c>
      <c r="F585" t="s">
        <v>18</v>
      </c>
      <c r="G585" t="s">
        <v>22</v>
      </c>
      <c r="H585" t="str">
        <f>"11/1/16"</f>
        <v>11/1/16</v>
      </c>
      <c r="I585" t="str">
        <f>"AFLAC"</f>
        <v>AFLAC</v>
      </c>
      <c r="J585" s="2">
        <v>387.96</v>
      </c>
    </row>
    <row r="586" spans="7:10" ht="15">
      <c r="G586" t="s">
        <v>13</v>
      </c>
      <c r="H586" t="str">
        <f>"ACA201610137718"</f>
        <v>ACA201610137718</v>
      </c>
      <c r="I586" t="str">
        <f>"AFLAC INSURANCE"</f>
        <v>AFLAC INSURANCE</v>
      </c>
      <c r="J586" s="2">
        <v>128.14</v>
      </c>
    </row>
    <row r="587" spans="7:10" ht="15">
      <c r="G587" t="s">
        <v>13</v>
      </c>
      <c r="H587" t="str">
        <f>"ACA201610267731"</f>
        <v>ACA201610267731</v>
      </c>
      <c r="I587" t="str">
        <f>"AFLAC INSURANCE"</f>
        <v>AFLAC INSURANCE</v>
      </c>
      <c r="J587" s="2">
        <v>128.14</v>
      </c>
    </row>
    <row r="588" spans="7:10" ht="15">
      <c r="G588" t="s">
        <v>13</v>
      </c>
      <c r="H588" t="str">
        <f>"AD2201610137718"</f>
        <v>AD2201610137718</v>
      </c>
      <c r="I588" t="str">
        <f>"AFLAC INSURANCE"</f>
        <v>AFLAC INSURANCE</v>
      </c>
      <c r="J588" s="2">
        <v>93.78</v>
      </c>
    </row>
    <row r="589" spans="7:10" ht="15">
      <c r="G589" t="s">
        <v>13</v>
      </c>
      <c r="H589" t="str">
        <f>"AD2201610267731"</f>
        <v>AD2201610267731</v>
      </c>
      <c r="I589" t="str">
        <f>"AFLAC INSURANCE"</f>
        <v>AFLAC INSURANCE</v>
      </c>
      <c r="J589" s="2">
        <v>93.78</v>
      </c>
    </row>
    <row r="590" spans="7:10" ht="15">
      <c r="G590" t="s">
        <v>13</v>
      </c>
      <c r="H590" t="str">
        <f>"ADR201610137718"</f>
        <v>ADR201610137718</v>
      </c>
      <c r="I590" t="str">
        <f>"INSURANCE"</f>
        <v>INSURANCE</v>
      </c>
      <c r="J590" s="2">
        <v>14.46</v>
      </c>
    </row>
    <row r="591" spans="7:10" ht="15">
      <c r="G591" t="s">
        <v>13</v>
      </c>
      <c r="H591" t="str">
        <f>"ADR201610267731"</f>
        <v>ADR201610267731</v>
      </c>
      <c r="I591" t="str">
        <f>"INSURANCE"</f>
        <v>INSURANCE</v>
      </c>
      <c r="J591" s="2">
        <v>14.46</v>
      </c>
    </row>
    <row r="592" spans="7:10" ht="15">
      <c r="G592" t="s">
        <v>13</v>
      </c>
      <c r="H592" t="str">
        <f>"AF1201610137718"</f>
        <v>AF1201610137718</v>
      </c>
      <c r="I592" t="str">
        <f aca="true" t="shared" si="14" ref="I592:I597">"AFLAC INSURANCE"</f>
        <v>AFLAC INSURANCE</v>
      </c>
      <c r="J592" s="2">
        <v>570.76</v>
      </c>
    </row>
    <row r="593" spans="7:10" ht="15">
      <c r="G593" t="s">
        <v>13</v>
      </c>
      <c r="H593" t="str">
        <f>"AF1201610267731"</f>
        <v>AF1201610267731</v>
      </c>
      <c r="I593" t="str">
        <f t="shared" si="14"/>
        <v>AFLAC INSURANCE</v>
      </c>
      <c r="J593" s="2">
        <v>570.76</v>
      </c>
    </row>
    <row r="594" spans="7:10" ht="15">
      <c r="G594" t="s">
        <v>13</v>
      </c>
      <c r="H594" t="str">
        <f>"ASP201610137718"</f>
        <v>ASP201610137718</v>
      </c>
      <c r="I594" t="str">
        <f t="shared" si="14"/>
        <v>AFLAC INSURANCE</v>
      </c>
      <c r="J594" s="2">
        <v>82.24</v>
      </c>
    </row>
    <row r="595" spans="7:10" ht="15">
      <c r="G595" t="s">
        <v>13</v>
      </c>
      <c r="H595" t="str">
        <f>"ASP201610267731"</f>
        <v>ASP201610267731</v>
      </c>
      <c r="I595" t="str">
        <f t="shared" si="14"/>
        <v>AFLAC INSURANCE</v>
      </c>
      <c r="J595" s="2">
        <v>82.24</v>
      </c>
    </row>
    <row r="596" spans="7:10" ht="15">
      <c r="G596" t="s">
        <v>13</v>
      </c>
      <c r="H596" t="str">
        <f>"HCO201610137718"</f>
        <v>HCO201610137718</v>
      </c>
      <c r="I596" t="str">
        <f t="shared" si="14"/>
        <v>AFLAC INSURANCE</v>
      </c>
      <c r="J596" s="2">
        <v>132.24</v>
      </c>
    </row>
    <row r="597" spans="7:10" ht="15">
      <c r="G597" t="s">
        <v>13</v>
      </c>
      <c r="H597" t="str">
        <f>"HCO201610267731"</f>
        <v>HCO201610267731</v>
      </c>
      <c r="I597" t="str">
        <f t="shared" si="14"/>
        <v>AFLAC INSURANCE</v>
      </c>
      <c r="J597" s="2">
        <v>132.24</v>
      </c>
    </row>
    <row r="598" spans="7:10" ht="15">
      <c r="G598" t="s">
        <v>13</v>
      </c>
      <c r="H598" t="str">
        <f>"STD201610137718"</f>
        <v>STD201610137718</v>
      </c>
      <c r="I598" t="str">
        <f>"INSURANCE"</f>
        <v>INSURANCE</v>
      </c>
      <c r="J598" s="2">
        <v>136.56</v>
      </c>
    </row>
    <row r="599" spans="7:10" ht="15">
      <c r="G599" t="s">
        <v>13</v>
      </c>
      <c r="H599" t="str">
        <f>"STD201610267731"</f>
        <v>STD201610267731</v>
      </c>
      <c r="I599" t="str">
        <f>"INSURANCE"</f>
        <v>INSURANCE</v>
      </c>
      <c r="J599" s="2">
        <v>136.56</v>
      </c>
    </row>
    <row r="600" spans="1:10" ht="15">
      <c r="A600" t="s">
        <v>23</v>
      </c>
      <c r="B600" t="s">
        <v>11</v>
      </c>
      <c r="C600">
        <v>52827</v>
      </c>
      <c r="D600" s="2">
        <v>33931.2</v>
      </c>
      <c r="E600" s="1">
        <v>42682</v>
      </c>
      <c r="F600" t="s">
        <v>18</v>
      </c>
      <c r="G600" t="s">
        <v>13</v>
      </c>
      <c r="H600" t="str">
        <f>"RET201610137718"</f>
        <v>RET201610137718</v>
      </c>
      <c r="I600" t="str">
        <f>"TMRS CITY OF FLORESVILLE"</f>
        <v>TMRS CITY OF FLORESVILLE</v>
      </c>
      <c r="J600" s="2">
        <v>16859.32</v>
      </c>
    </row>
    <row r="601" spans="7:10" ht="15">
      <c r="G601" t="s">
        <v>13</v>
      </c>
      <c r="H601" t="str">
        <f>"RET201610267731"</f>
        <v>RET201610267731</v>
      </c>
      <c r="I601" t="str">
        <f>"TMRS CITY OF FLORESVILLE"</f>
        <v>TMRS CITY OF FLORESVILLE</v>
      </c>
      <c r="J601" s="2">
        <v>17071.88</v>
      </c>
    </row>
    <row r="602" spans="1:10" ht="15">
      <c r="A602" t="s">
        <v>24</v>
      </c>
      <c r="B602" t="s">
        <v>11</v>
      </c>
      <c r="C602">
        <v>52830</v>
      </c>
      <c r="D602" s="2">
        <v>2387.52</v>
      </c>
      <c r="E602" s="1">
        <v>42682</v>
      </c>
      <c r="F602" t="s">
        <v>15</v>
      </c>
      <c r="G602" t="s">
        <v>13</v>
      </c>
      <c r="H602" t="str">
        <f>"DEN201610137718"</f>
        <v>DEN201610137718</v>
      </c>
      <c r="I602" t="str">
        <f>"DENTAL INSURANCE"</f>
        <v>DENTAL INSURANCE</v>
      </c>
      <c r="J602" s="2">
        <v>935.04</v>
      </c>
    </row>
    <row r="603" spans="7:10" ht="15">
      <c r="G603" t="s">
        <v>13</v>
      </c>
      <c r="H603" t="str">
        <f>"DEN201610267731"</f>
        <v>DEN201610267731</v>
      </c>
      <c r="I603" t="str">
        <f>"DENTAL INSURANCE"</f>
        <v>DENTAL INSURANCE</v>
      </c>
      <c r="J603" s="2">
        <v>935.04</v>
      </c>
    </row>
    <row r="604" spans="7:10" ht="15">
      <c r="G604" t="s">
        <v>13</v>
      </c>
      <c r="H604" t="str">
        <f>"VIS201610137718"</f>
        <v>VIS201610137718</v>
      </c>
      <c r="I604" t="str">
        <f>"DENTAL INSURANCE"</f>
        <v>DENTAL INSURANCE</v>
      </c>
      <c r="J604" s="2">
        <v>258.72</v>
      </c>
    </row>
    <row r="605" spans="7:10" ht="15">
      <c r="G605" t="s">
        <v>13</v>
      </c>
      <c r="H605" t="str">
        <f>"VIS201610267731"</f>
        <v>VIS201610267731</v>
      </c>
      <c r="I605" t="str">
        <f>"DENTAL INSURANCE"</f>
        <v>DENTAL INSURANCE</v>
      </c>
      <c r="J605" s="2">
        <v>258.72</v>
      </c>
    </row>
    <row r="606" spans="1:10" ht="15">
      <c r="A606" t="s">
        <v>24</v>
      </c>
      <c r="B606" t="s">
        <v>11</v>
      </c>
      <c r="C606">
        <v>52830</v>
      </c>
      <c r="D606" s="2">
        <v>2387.52</v>
      </c>
      <c r="E606" s="1">
        <v>42682</v>
      </c>
      <c r="F606" t="s">
        <v>15</v>
      </c>
      <c r="G606" t="s">
        <v>16</v>
      </c>
      <c r="H606" t="str">
        <f>"CHECK"</f>
        <v>CHECK</v>
      </c>
      <c r="I606">
        <f>""</f>
      </c>
      <c r="J606" s="2">
        <v>2387.52</v>
      </c>
    </row>
    <row r="607" spans="1:10" ht="15">
      <c r="A607" t="s">
        <v>25</v>
      </c>
      <c r="B607" t="s">
        <v>11</v>
      </c>
      <c r="C607">
        <v>52831</v>
      </c>
      <c r="D607" s="2">
        <v>113.2</v>
      </c>
      <c r="E607" s="1">
        <v>42682</v>
      </c>
      <c r="F607" t="s">
        <v>18</v>
      </c>
      <c r="G607" t="s">
        <v>22</v>
      </c>
      <c r="H607" t="str">
        <f>"11/1/16"</f>
        <v>11/1/16</v>
      </c>
      <c r="I607" t="str">
        <f>"LEGAL PLANS"</f>
        <v>LEGAL PLANS</v>
      </c>
      <c r="J607" s="2">
        <v>39.64</v>
      </c>
    </row>
    <row r="608" spans="7:10" ht="15">
      <c r="G608" t="s">
        <v>13</v>
      </c>
      <c r="H608" t="str">
        <f>"LEA201610137718"</f>
        <v>LEA201610137718</v>
      </c>
      <c r="I608" t="str">
        <f>"INSURANCE"</f>
        <v>INSURANCE</v>
      </c>
      <c r="J608" s="2">
        <v>36.78</v>
      </c>
    </row>
    <row r="609" spans="7:10" ht="15">
      <c r="G609" t="s">
        <v>13</v>
      </c>
      <c r="H609" t="str">
        <f>"LEA201610267731"</f>
        <v>LEA201610267731</v>
      </c>
      <c r="I609" t="str">
        <f>"INSURANCE"</f>
        <v>INSURANCE</v>
      </c>
      <c r="J609" s="2">
        <v>36.78</v>
      </c>
    </row>
    <row r="610" spans="1:10" ht="15">
      <c r="A610" t="s">
        <v>26</v>
      </c>
      <c r="B610" t="s">
        <v>11</v>
      </c>
      <c r="C610">
        <v>52832</v>
      </c>
      <c r="D610" s="2">
        <v>309.85</v>
      </c>
      <c r="E610" s="1">
        <v>42682</v>
      </c>
      <c r="F610" t="s">
        <v>18</v>
      </c>
      <c r="G610" t="s">
        <v>22</v>
      </c>
      <c r="H610" t="str">
        <f>"11/1/16"</f>
        <v>11/1/16</v>
      </c>
      <c r="I610" t="str">
        <f>"LEGALSHIELD"</f>
        <v>LEGALSHIELD</v>
      </c>
      <c r="J610" s="2">
        <v>125.54</v>
      </c>
    </row>
    <row r="611" spans="7:10" ht="15">
      <c r="G611" t="s">
        <v>13</v>
      </c>
      <c r="H611" t="str">
        <f>"PPL201610137718"</f>
        <v>PPL201610137718</v>
      </c>
      <c r="I611" t="str">
        <f>"INSURANCE"</f>
        <v>INSURANCE</v>
      </c>
      <c r="J611" s="2">
        <v>45.33</v>
      </c>
    </row>
    <row r="612" spans="7:10" ht="15">
      <c r="G612" t="s">
        <v>13</v>
      </c>
      <c r="H612" t="str">
        <f>"PPL201610267731"</f>
        <v>PPL201610267731</v>
      </c>
      <c r="I612" t="str">
        <f>"INSURANCE"</f>
        <v>INSURANCE</v>
      </c>
      <c r="J612" s="2">
        <v>138.98</v>
      </c>
    </row>
    <row r="613" spans="1:10" ht="15">
      <c r="A613" t="s">
        <v>27</v>
      </c>
      <c r="B613" t="s">
        <v>11</v>
      </c>
      <c r="C613">
        <v>52833</v>
      </c>
      <c r="D613" s="2">
        <v>38941.09</v>
      </c>
      <c r="E613" s="1">
        <v>42682</v>
      </c>
      <c r="F613" t="s">
        <v>18</v>
      </c>
      <c r="G613" t="s">
        <v>22</v>
      </c>
      <c r="H613" t="str">
        <f>"11/1/16"</f>
        <v>11/1/16</v>
      </c>
      <c r="I613" t="str">
        <f>"HEALTH CARE SERVICE CORPORATIO"</f>
        <v>HEALTH CARE SERVICE CORPORATIO</v>
      </c>
      <c r="J613" s="2">
        <v>6051.79</v>
      </c>
    </row>
    <row r="614" spans="7:10" ht="15">
      <c r="G614" t="s">
        <v>13</v>
      </c>
      <c r="H614" t="str">
        <f>"BME201610137718"</f>
        <v>BME201610137718</v>
      </c>
      <c r="I614" t="str">
        <f>"INSURANCE"</f>
        <v>INSURANCE</v>
      </c>
      <c r="J614" s="2">
        <v>7262.28</v>
      </c>
    </row>
    <row r="615" spans="7:10" ht="15">
      <c r="G615" t="s">
        <v>13</v>
      </c>
      <c r="H615" t="str">
        <f>"BME201610267731"</f>
        <v>BME201610267731</v>
      </c>
      <c r="I615" t="str">
        <f>"INSURANCE"</f>
        <v>INSURANCE</v>
      </c>
      <c r="J615" s="2">
        <v>7262.28</v>
      </c>
    </row>
    <row r="616" spans="7:10" ht="15">
      <c r="G616" t="s">
        <v>13</v>
      </c>
      <c r="H616" t="str">
        <f>"MED201610137718"</f>
        <v>MED201610137718</v>
      </c>
      <c r="I616" t="str">
        <f>"INSURANCE"</f>
        <v>INSURANCE</v>
      </c>
      <c r="J616" s="2">
        <v>8569.02</v>
      </c>
    </row>
    <row r="617" spans="7:10" ht="15">
      <c r="G617" t="s">
        <v>13</v>
      </c>
      <c r="H617" t="str">
        <f>"MED201610267731"</f>
        <v>MED201610267731</v>
      </c>
      <c r="I617" t="str">
        <f>"INSURANCE"</f>
        <v>INSURANCE</v>
      </c>
      <c r="J617" s="2">
        <v>8569.02</v>
      </c>
    </row>
    <row r="618" spans="7:10" ht="15">
      <c r="G618" t="s">
        <v>13</v>
      </c>
      <c r="H618" t="str">
        <f>"VLC201610137718"</f>
        <v>VLC201610137718</v>
      </c>
      <c r="I618" t="str">
        <f>"CHILD LIFE INSURANCE"</f>
        <v>CHILD LIFE INSURANCE</v>
      </c>
      <c r="J618" s="2">
        <v>42.79</v>
      </c>
    </row>
    <row r="619" spans="7:10" ht="15">
      <c r="G619" t="s">
        <v>13</v>
      </c>
      <c r="H619" t="str">
        <f>"VLC201610267731"</f>
        <v>VLC201610267731</v>
      </c>
      <c r="I619" t="str">
        <f>"CHILD LIFE INSURANCE"</f>
        <v>CHILD LIFE INSURANCE</v>
      </c>
      <c r="J619" s="2">
        <v>42.79</v>
      </c>
    </row>
    <row r="620" spans="7:10" ht="15">
      <c r="G620" t="s">
        <v>13</v>
      </c>
      <c r="H620" t="str">
        <f>"VLS201610137718"</f>
        <v>VLS201610137718</v>
      </c>
      <c r="I620" t="str">
        <f>"SPOUSE LIFE"</f>
        <v>SPOUSE LIFE</v>
      </c>
      <c r="J620" s="2">
        <v>121.82</v>
      </c>
    </row>
    <row r="621" spans="7:10" ht="15">
      <c r="G621" t="s">
        <v>13</v>
      </c>
      <c r="H621" t="str">
        <f>"VLS201610267731"</f>
        <v>VLS201610267731</v>
      </c>
      <c r="I621" t="str">
        <f>"SPOUSE LIFE"</f>
        <v>SPOUSE LIFE</v>
      </c>
      <c r="J621" s="2">
        <v>121.82</v>
      </c>
    </row>
    <row r="622" spans="7:10" ht="15">
      <c r="G622" t="s">
        <v>13</v>
      </c>
      <c r="H622" t="str">
        <f>"VOE201610137718"</f>
        <v>VOE201610137718</v>
      </c>
      <c r="I622" t="str">
        <f>"EMPLOYEE LIFE"</f>
        <v>EMPLOYEE LIFE</v>
      </c>
      <c r="J622" s="2">
        <v>27.38</v>
      </c>
    </row>
    <row r="623" spans="7:10" ht="15">
      <c r="G623" t="s">
        <v>13</v>
      </c>
      <c r="H623" t="str">
        <f>"VOE201610267731"</f>
        <v>VOE201610267731</v>
      </c>
      <c r="I623" t="str">
        <f>"EMPLOYEE LIFE"</f>
        <v>EMPLOYEE LIFE</v>
      </c>
      <c r="J623" s="2">
        <v>27.38</v>
      </c>
    </row>
    <row r="624" spans="7:10" ht="15">
      <c r="G624" t="s">
        <v>13</v>
      </c>
      <c r="H624" t="str">
        <f>"VOL201610137718"</f>
        <v>VOL201610137718</v>
      </c>
      <c r="I624" t="str">
        <f>"LIFE"</f>
        <v>LIFE</v>
      </c>
      <c r="J624" s="2">
        <v>421.36</v>
      </c>
    </row>
    <row r="625" spans="7:10" ht="15">
      <c r="G625" t="s">
        <v>13</v>
      </c>
      <c r="H625" t="str">
        <f>"VOL201610267731"</f>
        <v>VOL201610267731</v>
      </c>
      <c r="I625" t="str">
        <f>"LIFE"</f>
        <v>LIFE</v>
      </c>
      <c r="J625" s="2">
        <v>421.36</v>
      </c>
    </row>
    <row r="626" spans="1:10" ht="15">
      <c r="A626" t="s">
        <v>28</v>
      </c>
      <c r="B626" t="s">
        <v>11</v>
      </c>
      <c r="C626">
        <v>52839</v>
      </c>
      <c r="D626" s="2">
        <v>1840.08</v>
      </c>
      <c r="E626" s="1">
        <v>42682</v>
      </c>
      <c r="F626" t="s">
        <v>18</v>
      </c>
      <c r="G626" t="s">
        <v>22</v>
      </c>
      <c r="H626" t="str">
        <f>"11/1/16"</f>
        <v>11/1/16</v>
      </c>
      <c r="I626" t="str">
        <f>"DEARBORN NATIONAL"</f>
        <v>DEARBORN NATIONAL</v>
      </c>
      <c r="J626" s="2">
        <v>1820.8</v>
      </c>
    </row>
    <row r="627" spans="7:10" ht="15">
      <c r="G627" t="s">
        <v>13</v>
      </c>
      <c r="H627" t="str">
        <f>"ADD201610137718"</f>
        <v>ADD201610137718</v>
      </c>
      <c r="I627" t="str">
        <f>"AD&amp;D"</f>
        <v>AD&amp;D</v>
      </c>
      <c r="J627" s="2">
        <v>1</v>
      </c>
    </row>
    <row r="628" spans="7:10" ht="15">
      <c r="G628" t="s">
        <v>13</v>
      </c>
      <c r="H628" t="str">
        <f>"ADD201610267731"</f>
        <v>ADD201610267731</v>
      </c>
      <c r="I628" t="str">
        <f>"AD&amp;D"</f>
        <v>AD&amp;D</v>
      </c>
      <c r="J628" s="2">
        <v>1</v>
      </c>
    </row>
    <row r="629" spans="7:10" ht="15">
      <c r="G629" t="s">
        <v>13</v>
      </c>
      <c r="H629" t="str">
        <f>"LIF201610137718"</f>
        <v>LIF201610137718</v>
      </c>
      <c r="I629" t="str">
        <f>"INSURANCE"</f>
        <v>INSURANCE</v>
      </c>
      <c r="J629" s="2">
        <v>8.64</v>
      </c>
    </row>
    <row r="630" spans="7:10" ht="15">
      <c r="G630" t="s">
        <v>13</v>
      </c>
      <c r="H630" t="str">
        <f>"LIF201610267731"</f>
        <v>LIF201610267731</v>
      </c>
      <c r="I630" t="str">
        <f>"INSURANCE"</f>
        <v>INSURANCE</v>
      </c>
      <c r="J630" s="2">
        <v>8.64</v>
      </c>
    </row>
    <row r="631" spans="1:10" ht="15">
      <c r="A631" t="s">
        <v>29</v>
      </c>
      <c r="B631" t="s">
        <v>11</v>
      </c>
      <c r="C631">
        <v>52856</v>
      </c>
      <c r="D631" s="2">
        <v>309.37</v>
      </c>
      <c r="E631" s="1">
        <v>42682</v>
      </c>
      <c r="F631" t="s">
        <v>18</v>
      </c>
      <c r="G631" t="s">
        <v>13</v>
      </c>
      <c r="H631" t="str">
        <f>"CLE201611087771"</f>
        <v>CLE201611087771</v>
      </c>
      <c r="I631" t="str">
        <f>"CLEAT ONLY DUES"</f>
        <v>CLEAT ONLY DUES</v>
      </c>
      <c r="J631" s="2">
        <v>13.85</v>
      </c>
    </row>
    <row r="632" spans="7:10" ht="15">
      <c r="G632" t="s">
        <v>13</v>
      </c>
      <c r="H632" t="str">
        <f>"PDD201611087771"</f>
        <v>PDD201611087771</v>
      </c>
      <c r="I632" t="str">
        <f>"POLICE OFFICERS ASSOC DUES"</f>
        <v>POLICE OFFICERS ASSOC DUES</v>
      </c>
      <c r="J632" s="2">
        <v>295.52</v>
      </c>
    </row>
    <row r="633" spans="1:10" ht="15">
      <c r="A633" t="s">
        <v>30</v>
      </c>
      <c r="B633" t="s">
        <v>11</v>
      </c>
      <c r="C633">
        <v>52857</v>
      </c>
      <c r="D633" s="2">
        <v>1200.46</v>
      </c>
      <c r="E633" s="1">
        <v>42682</v>
      </c>
      <c r="F633" t="s">
        <v>18</v>
      </c>
      <c r="G633" t="s">
        <v>13</v>
      </c>
      <c r="H633" t="str">
        <f>"CPS201611087771"</f>
        <v>CPS201611087771</v>
      </c>
      <c r="I633" t="str">
        <f>"G MENDOZA 00123012032010EM5054"</f>
        <v>G MENDOZA 00123012032010EM5054</v>
      </c>
      <c r="J633" s="2">
        <v>11.54</v>
      </c>
    </row>
    <row r="634" spans="7:10" ht="15">
      <c r="G634" t="s">
        <v>13</v>
      </c>
      <c r="H634" t="str">
        <f>"CS 201611087771"</f>
        <v>CS 201611087771</v>
      </c>
      <c r="I634" t="str">
        <f>"CAUSE#98EM504113 PEGGY RIVAS"</f>
        <v>CAUSE#98EM504113 PEGGY RIVAS</v>
      </c>
      <c r="J634" s="2">
        <v>294.46</v>
      </c>
    </row>
    <row r="635" spans="7:10" ht="15">
      <c r="G635" t="s">
        <v>13</v>
      </c>
      <c r="H635" t="str">
        <f>"CS1201611087771"</f>
        <v>CS1201611087771</v>
      </c>
      <c r="I635" t="str">
        <f>"CAUSE# 10008CVW DEBRA ESQUEDA"</f>
        <v>CAUSE# 10008CVW DEBRA ESQUEDA</v>
      </c>
      <c r="J635" s="2">
        <v>234.46</v>
      </c>
    </row>
    <row r="636" spans="7:10" ht="15">
      <c r="G636" t="s">
        <v>13</v>
      </c>
      <c r="H636" t="str">
        <f>"CSJ201611087771"</f>
        <v>CSJ201611087771</v>
      </c>
      <c r="I636" t="str">
        <f>"CAUSE# 0010185272 MARIANN GUTI"</f>
        <v>CAUSE# 0010185272 MARIANN GUTI</v>
      </c>
      <c r="J636" s="2">
        <v>325.38</v>
      </c>
    </row>
    <row r="637" spans="7:10" ht="15">
      <c r="G637" t="s">
        <v>13</v>
      </c>
      <c r="H637" t="str">
        <f>"CST201611087771"</f>
        <v>CST201611087771</v>
      </c>
      <c r="I637" t="str">
        <f>"CAUSE #0009418917 SONIA PEREZ"</f>
        <v>CAUSE #0009418917 SONIA PEREZ</v>
      </c>
      <c r="J637" s="2">
        <v>334.62</v>
      </c>
    </row>
    <row r="638" spans="1:10" ht="15">
      <c r="A638" t="s">
        <v>31</v>
      </c>
      <c r="B638" t="s">
        <v>11</v>
      </c>
      <c r="C638">
        <v>52858</v>
      </c>
      <c r="D638" s="2">
        <v>147.7</v>
      </c>
      <c r="E638" s="1">
        <v>42682</v>
      </c>
      <c r="F638" t="s">
        <v>18</v>
      </c>
      <c r="G638" t="s">
        <v>13</v>
      </c>
      <c r="H638" t="str">
        <f>"BNK201611087771"</f>
        <v>BNK201611087771</v>
      </c>
      <c r="I638" t="str">
        <f>"CHAPTER 13  CASE NO. 1152669"</f>
        <v>CHAPTER 13  CASE NO. 1152669</v>
      </c>
      <c r="J638" s="2">
        <v>147.7</v>
      </c>
    </row>
    <row r="639" spans="1:10" ht="15">
      <c r="A639" t="s">
        <v>32</v>
      </c>
      <c r="B639" t="s">
        <v>11</v>
      </c>
      <c r="C639">
        <v>52859</v>
      </c>
      <c r="D639" s="2">
        <v>99.1</v>
      </c>
      <c r="E639" s="1">
        <v>42682</v>
      </c>
      <c r="F639" t="s">
        <v>18</v>
      </c>
      <c r="G639" t="s">
        <v>13</v>
      </c>
      <c r="H639" t="str">
        <f>"MCO201611087771"</f>
        <v>MCO201611087771</v>
      </c>
      <c r="I639" t="s">
        <v>313</v>
      </c>
      <c r="J639" s="2">
        <v>99.1</v>
      </c>
    </row>
    <row r="640" spans="1:10" ht="15">
      <c r="A640" t="s">
        <v>33</v>
      </c>
      <c r="B640" t="s">
        <v>11</v>
      </c>
      <c r="C640">
        <v>52860</v>
      </c>
      <c r="D640" s="2">
        <v>749</v>
      </c>
      <c r="E640" s="1">
        <v>42682</v>
      </c>
      <c r="F640" t="s">
        <v>18</v>
      </c>
      <c r="G640" t="s">
        <v>13</v>
      </c>
      <c r="H640" t="str">
        <f>"457201611087771"</f>
        <v>457201611087771</v>
      </c>
      <c r="I640" t="str">
        <f>"CASE # 180-60751 457B DEDUCT"</f>
        <v>CASE # 180-60751 457B DEDUCT</v>
      </c>
      <c r="J640" s="2">
        <v>749</v>
      </c>
    </row>
    <row r="641" spans="1:10" ht="15">
      <c r="A641" t="s">
        <v>35</v>
      </c>
      <c r="B641" t="s">
        <v>11</v>
      </c>
      <c r="C641">
        <v>52861</v>
      </c>
      <c r="D641" s="2">
        <v>18004</v>
      </c>
      <c r="E641" s="1">
        <v>42689</v>
      </c>
      <c r="F641" t="s">
        <v>18</v>
      </c>
      <c r="G641" t="s">
        <v>13</v>
      </c>
      <c r="H641" t="str">
        <f>"VEHICLE PURCHASE"</f>
        <v>VEHICLE PURCHASE</v>
      </c>
      <c r="I641" t="str">
        <f>"F.E.L.P.S."</f>
        <v>F.E.L.P.S.</v>
      </c>
      <c r="J641" s="2">
        <v>18004</v>
      </c>
    </row>
    <row r="642" spans="1:10" ht="15">
      <c r="A642" t="s">
        <v>130</v>
      </c>
      <c r="B642" t="s">
        <v>11</v>
      </c>
      <c r="C642">
        <v>52862</v>
      </c>
      <c r="D642" s="2">
        <v>215</v>
      </c>
      <c r="E642" s="1">
        <v>42690</v>
      </c>
      <c r="F642" t="s">
        <v>18</v>
      </c>
      <c r="G642" t="s">
        <v>13</v>
      </c>
      <c r="H642" t="str">
        <f>"PERMIT #22"</f>
        <v>PERMIT #22</v>
      </c>
      <c r="I642" t="str">
        <f>"FLORESVILLE POST OFFICE"</f>
        <v>FLORESVILLE POST OFFICE</v>
      </c>
      <c r="J642" s="2">
        <v>215</v>
      </c>
    </row>
    <row r="643" spans="1:10" ht="15">
      <c r="A643" t="s">
        <v>109</v>
      </c>
      <c r="B643" t="s">
        <v>11</v>
      </c>
      <c r="C643">
        <v>52863</v>
      </c>
      <c r="D643" s="2">
        <v>4558.71</v>
      </c>
      <c r="E643" s="1">
        <v>42690</v>
      </c>
      <c r="F643" t="s">
        <v>18</v>
      </c>
      <c r="G643" t="s">
        <v>13</v>
      </c>
      <c r="H643" t="str">
        <f>"ACCT#15964"</f>
        <v>ACCT#15964</v>
      </c>
      <c r="I643" t="str">
        <f>"WILSON COUNTY NEWS"</f>
        <v>WILSON COUNTY NEWS</v>
      </c>
      <c r="J643" s="2">
        <v>1744.08</v>
      </c>
    </row>
    <row r="644" spans="7:10" ht="15">
      <c r="G644" t="s">
        <v>13</v>
      </c>
      <c r="H644" t="str">
        <f>"ACCT1068"</f>
        <v>ACCT1068</v>
      </c>
      <c r="I644" t="str">
        <f>"WILSON COUNTY NEWS"</f>
        <v>WILSON COUNTY NEWS</v>
      </c>
      <c r="J644" s="2">
        <v>2814.63</v>
      </c>
    </row>
    <row r="645" spans="1:10" ht="15">
      <c r="A645" t="s">
        <v>39</v>
      </c>
      <c r="B645" t="s">
        <v>11</v>
      </c>
      <c r="C645">
        <v>52864</v>
      </c>
      <c r="D645" s="2">
        <v>14</v>
      </c>
      <c r="E645" s="1">
        <v>42690</v>
      </c>
      <c r="F645" t="s">
        <v>18</v>
      </c>
      <c r="G645" t="s">
        <v>13</v>
      </c>
      <c r="H645" t="str">
        <f>"240330"</f>
        <v>240330</v>
      </c>
      <c r="I645" t="str">
        <f>"LUBE WORKS"</f>
        <v>LUBE WORKS</v>
      </c>
      <c r="J645" s="2">
        <v>7</v>
      </c>
    </row>
    <row r="646" spans="7:10" ht="15">
      <c r="G646" t="s">
        <v>13</v>
      </c>
      <c r="H646" t="str">
        <f>"241033"</f>
        <v>241033</v>
      </c>
      <c r="I646" t="str">
        <f>"LUBE WORKS"</f>
        <v>LUBE WORKS</v>
      </c>
      <c r="J646" s="2">
        <v>7</v>
      </c>
    </row>
    <row r="647" spans="1:10" ht="15">
      <c r="A647" t="s">
        <v>186</v>
      </c>
      <c r="B647" t="s">
        <v>11</v>
      </c>
      <c r="C647">
        <v>52865</v>
      </c>
      <c r="D647" s="2">
        <v>956.96</v>
      </c>
      <c r="E647" s="1">
        <v>42690</v>
      </c>
      <c r="F647" t="s">
        <v>18</v>
      </c>
      <c r="G647" t="s">
        <v>13</v>
      </c>
      <c r="H647" t="str">
        <f>"FOCS219541"</f>
        <v>FOCS219541</v>
      </c>
      <c r="I647" t="str">
        <f>"ANCIRA FORD-MERCURY"</f>
        <v>ANCIRA FORD-MERCURY</v>
      </c>
      <c r="J647" s="2">
        <v>956.96</v>
      </c>
    </row>
    <row r="648" spans="1:10" ht="15">
      <c r="A648" t="s">
        <v>187</v>
      </c>
      <c r="B648" t="s">
        <v>11</v>
      </c>
      <c r="C648">
        <v>52866</v>
      </c>
      <c r="D648" s="2">
        <v>300</v>
      </c>
      <c r="E648" s="1">
        <v>42690</v>
      </c>
      <c r="F648" t="s">
        <v>18</v>
      </c>
      <c r="G648" t="s">
        <v>13</v>
      </c>
      <c r="H648" t="str">
        <f>"EXTRAVAGANZA"</f>
        <v>EXTRAVAGANZA</v>
      </c>
      <c r="I648" t="s">
        <v>314</v>
      </c>
      <c r="J648" s="2">
        <v>300</v>
      </c>
    </row>
    <row r="649" spans="1:10" ht="15">
      <c r="A649" t="s">
        <v>45</v>
      </c>
      <c r="B649" t="s">
        <v>11</v>
      </c>
      <c r="C649">
        <v>52867</v>
      </c>
      <c r="D649" s="2">
        <v>1028.69</v>
      </c>
      <c r="E649" s="1">
        <v>42690</v>
      </c>
      <c r="F649" t="s">
        <v>18</v>
      </c>
      <c r="G649" t="s">
        <v>13</v>
      </c>
      <c r="H649" t="str">
        <f>"0127066-IN"</f>
        <v>0127066-IN</v>
      </c>
      <c r="I649" t="str">
        <f>"NARDIS PUBLIC SAFETY"</f>
        <v>NARDIS PUBLIC SAFETY</v>
      </c>
      <c r="J649" s="2">
        <v>1028.69</v>
      </c>
    </row>
    <row r="650" spans="1:10" ht="15">
      <c r="A650" t="s">
        <v>188</v>
      </c>
      <c r="B650" t="s">
        <v>11</v>
      </c>
      <c r="C650">
        <v>52868</v>
      </c>
      <c r="D650" s="2">
        <v>656.5</v>
      </c>
      <c r="E650" s="1">
        <v>42690</v>
      </c>
      <c r="F650" t="s">
        <v>18</v>
      </c>
      <c r="G650" t="s">
        <v>13</v>
      </c>
      <c r="H650" t="str">
        <f>"201611167777"</f>
        <v>201611167777</v>
      </c>
      <c r="I650" t="str">
        <f aca="true" t="shared" si="15" ref="I650:I659">"ELECTIONS"</f>
        <v>ELECTIONS</v>
      </c>
      <c r="J650" s="2">
        <v>656.5</v>
      </c>
    </row>
    <row r="651" spans="1:10" ht="15">
      <c r="A651" t="s">
        <v>189</v>
      </c>
      <c r="B651" t="s">
        <v>11</v>
      </c>
      <c r="C651">
        <v>52869</v>
      </c>
      <c r="D651" s="2">
        <v>247</v>
      </c>
      <c r="E651" s="1">
        <v>42690</v>
      </c>
      <c r="F651" t="s">
        <v>18</v>
      </c>
      <c r="G651" t="s">
        <v>13</v>
      </c>
      <c r="H651" t="str">
        <f>"201611167780"</f>
        <v>201611167780</v>
      </c>
      <c r="I651" t="str">
        <f t="shared" si="15"/>
        <v>ELECTIONS</v>
      </c>
      <c r="J651" s="2">
        <v>247</v>
      </c>
    </row>
    <row r="652" spans="1:10" ht="15">
      <c r="A652" t="s">
        <v>190</v>
      </c>
      <c r="B652" t="s">
        <v>11</v>
      </c>
      <c r="C652">
        <v>52870</v>
      </c>
      <c r="D652" s="2">
        <v>598</v>
      </c>
      <c r="E652" s="1">
        <v>42690</v>
      </c>
      <c r="F652" t="s">
        <v>18</v>
      </c>
      <c r="G652" t="s">
        <v>13</v>
      </c>
      <c r="H652" t="str">
        <f>"201611167781"</f>
        <v>201611167781</v>
      </c>
      <c r="I652" t="str">
        <f t="shared" si="15"/>
        <v>ELECTIONS</v>
      </c>
      <c r="J652" s="2">
        <v>598</v>
      </c>
    </row>
    <row r="653" spans="1:10" ht="15">
      <c r="A653" t="s">
        <v>191</v>
      </c>
      <c r="B653" t="s">
        <v>11</v>
      </c>
      <c r="C653">
        <v>52871</v>
      </c>
      <c r="D653" s="2">
        <v>221</v>
      </c>
      <c r="E653" s="1">
        <v>42690</v>
      </c>
      <c r="F653" t="s">
        <v>18</v>
      </c>
      <c r="G653" t="s">
        <v>13</v>
      </c>
      <c r="H653" t="str">
        <f>"201611167782"</f>
        <v>201611167782</v>
      </c>
      <c r="I653" t="str">
        <f t="shared" si="15"/>
        <v>ELECTIONS</v>
      </c>
      <c r="J653" s="2">
        <v>221</v>
      </c>
    </row>
    <row r="654" spans="1:10" ht="15">
      <c r="A654" t="s">
        <v>192</v>
      </c>
      <c r="B654" t="s">
        <v>11</v>
      </c>
      <c r="C654">
        <v>52872</v>
      </c>
      <c r="D654" s="2">
        <v>195</v>
      </c>
      <c r="E654" s="1">
        <v>42690</v>
      </c>
      <c r="F654" t="s">
        <v>18</v>
      </c>
      <c r="G654" t="s">
        <v>13</v>
      </c>
      <c r="H654" t="str">
        <f>"201611167783"</f>
        <v>201611167783</v>
      </c>
      <c r="I654" t="str">
        <f t="shared" si="15"/>
        <v>ELECTIONS</v>
      </c>
      <c r="J654" s="2">
        <v>195</v>
      </c>
    </row>
    <row r="655" spans="1:10" ht="15">
      <c r="A655" t="s">
        <v>193</v>
      </c>
      <c r="B655" t="s">
        <v>11</v>
      </c>
      <c r="C655">
        <v>52873</v>
      </c>
      <c r="D655" s="2">
        <v>617.5</v>
      </c>
      <c r="E655" s="1">
        <v>42690</v>
      </c>
      <c r="F655" t="s">
        <v>18</v>
      </c>
      <c r="G655" t="s">
        <v>13</v>
      </c>
      <c r="H655" t="str">
        <f>"201611167784"</f>
        <v>201611167784</v>
      </c>
      <c r="I655" t="str">
        <f t="shared" si="15"/>
        <v>ELECTIONS</v>
      </c>
      <c r="J655" s="2">
        <v>617.5</v>
      </c>
    </row>
    <row r="656" spans="1:10" ht="15">
      <c r="A656" t="s">
        <v>194</v>
      </c>
      <c r="B656" t="s">
        <v>11</v>
      </c>
      <c r="C656">
        <v>52874</v>
      </c>
      <c r="D656" s="2">
        <v>195</v>
      </c>
      <c r="E656" s="1">
        <v>42690</v>
      </c>
      <c r="F656" t="s">
        <v>18</v>
      </c>
      <c r="G656" t="s">
        <v>13</v>
      </c>
      <c r="H656" t="str">
        <f>"201611167785"</f>
        <v>201611167785</v>
      </c>
      <c r="I656" t="str">
        <f t="shared" si="15"/>
        <v>ELECTIONS</v>
      </c>
      <c r="J656" s="2">
        <v>195</v>
      </c>
    </row>
    <row r="657" spans="1:10" ht="15">
      <c r="A657" t="s">
        <v>195</v>
      </c>
      <c r="B657" t="s">
        <v>11</v>
      </c>
      <c r="C657">
        <v>52875</v>
      </c>
      <c r="D657" s="2">
        <v>209.25</v>
      </c>
      <c r="E657" s="1">
        <v>42690</v>
      </c>
      <c r="F657" t="s">
        <v>18</v>
      </c>
      <c r="G657" t="s">
        <v>13</v>
      </c>
      <c r="H657" t="str">
        <f>"ELECTION"</f>
        <v>ELECTION</v>
      </c>
      <c r="I657" t="str">
        <f t="shared" si="15"/>
        <v>ELECTIONS</v>
      </c>
      <c r="J657" s="2">
        <v>209.25</v>
      </c>
    </row>
    <row r="658" spans="1:10" ht="15">
      <c r="A658" t="s">
        <v>196</v>
      </c>
      <c r="B658" t="s">
        <v>11</v>
      </c>
      <c r="C658">
        <v>52876</v>
      </c>
      <c r="D658" s="2">
        <v>826.75</v>
      </c>
      <c r="E658" s="1">
        <v>42690</v>
      </c>
      <c r="F658" t="s">
        <v>18</v>
      </c>
      <c r="G658" t="s">
        <v>13</v>
      </c>
      <c r="H658" t="str">
        <f>"ELECTION 2016"</f>
        <v>ELECTION 2016</v>
      </c>
      <c r="I658" t="str">
        <f t="shared" si="15"/>
        <v>ELECTIONS</v>
      </c>
      <c r="J658" s="2">
        <v>826.75</v>
      </c>
    </row>
    <row r="659" spans="1:10" ht="15">
      <c r="A659" t="s">
        <v>197</v>
      </c>
      <c r="B659" t="s">
        <v>11</v>
      </c>
      <c r="C659">
        <v>52877</v>
      </c>
      <c r="D659" s="2">
        <v>325</v>
      </c>
      <c r="E659" s="1">
        <v>42690</v>
      </c>
      <c r="F659" t="s">
        <v>18</v>
      </c>
      <c r="G659" t="s">
        <v>13</v>
      </c>
      <c r="H659" t="str">
        <f>"ELECTIONS 16"</f>
        <v>ELECTIONS 16</v>
      </c>
      <c r="I659" t="str">
        <f t="shared" si="15"/>
        <v>ELECTIONS</v>
      </c>
      <c r="J659" s="2">
        <v>325</v>
      </c>
    </row>
    <row r="660" spans="1:10" ht="15">
      <c r="A660" t="s">
        <v>198</v>
      </c>
      <c r="B660" t="s">
        <v>11</v>
      </c>
      <c r="C660">
        <v>52878</v>
      </c>
      <c r="D660" s="2">
        <v>100</v>
      </c>
      <c r="E660" s="1">
        <v>42690</v>
      </c>
      <c r="F660" t="s">
        <v>18</v>
      </c>
      <c r="G660" t="s">
        <v>13</v>
      </c>
      <c r="H660" t="str">
        <f>"EXTRAVAGANZA"</f>
        <v>EXTRAVAGANZA</v>
      </c>
      <c r="I660" t="str">
        <f>"HOL EXTR"</f>
        <v>HOL EXTR</v>
      </c>
      <c r="J660" s="2">
        <v>100</v>
      </c>
    </row>
    <row r="661" spans="1:10" ht="15">
      <c r="A661" t="s">
        <v>133</v>
      </c>
      <c r="B661" t="s">
        <v>11</v>
      </c>
      <c r="C661">
        <v>52879</v>
      </c>
      <c r="D661" s="2">
        <v>80</v>
      </c>
      <c r="E661" s="1">
        <v>42690</v>
      </c>
      <c r="F661" t="s">
        <v>18</v>
      </c>
      <c r="G661" t="s">
        <v>13</v>
      </c>
      <c r="H661" t="str">
        <f>"R.CARRASCO TRNG"</f>
        <v>R.CARRASCO TRNG</v>
      </c>
      <c r="I661" t="str">
        <f>"TRAINING REF"</f>
        <v>TRAINING REF</v>
      </c>
      <c r="J661" s="2">
        <v>80</v>
      </c>
    </row>
    <row r="662" spans="1:10" ht="15">
      <c r="A662" t="s">
        <v>161</v>
      </c>
      <c r="B662" t="s">
        <v>11</v>
      </c>
      <c r="C662">
        <v>52880</v>
      </c>
      <c r="D662" s="2">
        <v>188</v>
      </c>
      <c r="E662" s="1">
        <v>42690</v>
      </c>
      <c r="F662" t="s">
        <v>18</v>
      </c>
      <c r="G662" t="s">
        <v>13</v>
      </c>
      <c r="H662" t="str">
        <f>"025-171561"</f>
        <v>025-171561</v>
      </c>
      <c r="I662" t="str">
        <f>"TYLER TECHNOLOGIES  INC."</f>
        <v>TYLER TECHNOLOGIES  INC.</v>
      </c>
      <c r="J662" s="2">
        <v>188</v>
      </c>
    </row>
    <row r="663" spans="1:10" ht="15">
      <c r="A663" t="s">
        <v>199</v>
      </c>
      <c r="B663" t="s">
        <v>11</v>
      </c>
      <c r="C663">
        <v>52881</v>
      </c>
      <c r="D663" s="2">
        <v>40</v>
      </c>
      <c r="E663" s="1">
        <v>42690</v>
      </c>
      <c r="F663" t="s">
        <v>18</v>
      </c>
      <c r="G663" t="s">
        <v>13</v>
      </c>
      <c r="H663" t="str">
        <f>"201611167772"</f>
        <v>201611167772</v>
      </c>
      <c r="I663" t="str">
        <f>"AHC PHYSICIANS INC."</f>
        <v>AHC PHYSICIANS INC.</v>
      </c>
      <c r="J663" s="2">
        <v>40</v>
      </c>
    </row>
    <row r="664" spans="1:10" ht="15">
      <c r="A664" t="s">
        <v>93</v>
      </c>
      <c r="B664" t="s">
        <v>11</v>
      </c>
      <c r="C664">
        <v>52882</v>
      </c>
      <c r="D664" s="2">
        <v>153</v>
      </c>
      <c r="E664" s="1">
        <v>42690</v>
      </c>
      <c r="F664" t="s">
        <v>18</v>
      </c>
      <c r="G664" t="s">
        <v>13</v>
      </c>
      <c r="H664" t="str">
        <f>"51548"</f>
        <v>51548</v>
      </c>
      <c r="I664" t="str">
        <f>"SBS ADMINISTRATIVE SERVICES  L"</f>
        <v>SBS ADMINISTRATIVE SERVICES  L</v>
      </c>
      <c r="J664" s="2">
        <v>153</v>
      </c>
    </row>
    <row r="665" spans="1:10" ht="15">
      <c r="A665" t="s">
        <v>200</v>
      </c>
      <c r="B665" t="s">
        <v>11</v>
      </c>
      <c r="C665">
        <v>52883</v>
      </c>
      <c r="D665" s="2">
        <v>300</v>
      </c>
      <c r="E665" s="1">
        <v>42690</v>
      </c>
      <c r="F665" t="s">
        <v>18</v>
      </c>
      <c r="G665" t="s">
        <v>13</v>
      </c>
      <c r="H665" t="str">
        <f>"00860"</f>
        <v>00860</v>
      </c>
      <c r="I665" t="str">
        <f>"AACOG"</f>
        <v>AACOG</v>
      </c>
      <c r="J665" s="2">
        <v>300</v>
      </c>
    </row>
    <row r="666" spans="1:10" ht="15">
      <c r="A666" t="s">
        <v>48</v>
      </c>
      <c r="B666" t="s">
        <v>11</v>
      </c>
      <c r="C666">
        <v>52884</v>
      </c>
      <c r="D666" s="2">
        <v>74.57</v>
      </c>
      <c r="E666" s="1">
        <v>42690</v>
      </c>
      <c r="F666" t="s">
        <v>18</v>
      </c>
      <c r="G666" t="s">
        <v>13</v>
      </c>
      <c r="H666" t="str">
        <f>"3547767157"</f>
        <v>3547767157</v>
      </c>
      <c r="I666" t="str">
        <f>"AUTOZONE"</f>
        <v>AUTOZONE</v>
      </c>
      <c r="J666" s="2">
        <v>51.17</v>
      </c>
    </row>
    <row r="667" spans="7:10" ht="15">
      <c r="G667" t="s">
        <v>13</v>
      </c>
      <c r="H667" t="str">
        <f>"3547768109"</f>
        <v>3547768109</v>
      </c>
      <c r="I667" t="str">
        <f>"AUTOZONE"</f>
        <v>AUTOZONE</v>
      </c>
      <c r="J667" s="2">
        <v>6.86</v>
      </c>
    </row>
    <row r="668" spans="7:10" ht="15">
      <c r="G668" t="s">
        <v>13</v>
      </c>
      <c r="H668" t="str">
        <f>"3547768740"</f>
        <v>3547768740</v>
      </c>
      <c r="I668" t="str">
        <f>"AUTOZONE"</f>
        <v>AUTOZONE</v>
      </c>
      <c r="J668" s="2">
        <v>12.2</v>
      </c>
    </row>
    <row r="669" spans="7:10" ht="15">
      <c r="G669" t="s">
        <v>13</v>
      </c>
      <c r="H669" t="str">
        <f>"3547773099"</f>
        <v>3547773099</v>
      </c>
      <c r="I669" t="str">
        <f>"AUTOZONE"</f>
        <v>AUTOZONE</v>
      </c>
      <c r="J669" s="2">
        <v>4.34</v>
      </c>
    </row>
    <row r="670" spans="1:10" ht="15">
      <c r="A670" t="s">
        <v>201</v>
      </c>
      <c r="B670" t="s">
        <v>11</v>
      </c>
      <c r="C670">
        <v>52885</v>
      </c>
      <c r="D670" s="2">
        <v>4989.23</v>
      </c>
      <c r="E670" s="1">
        <v>42690</v>
      </c>
      <c r="F670" t="s">
        <v>18</v>
      </c>
      <c r="G670" t="s">
        <v>13</v>
      </c>
      <c r="H670" t="str">
        <f>"12/31/16"</f>
        <v>12/31/16</v>
      </c>
      <c r="I670" t="str">
        <f>"WILSON COUNTY APPRAISAL DISTRI"</f>
        <v>WILSON COUNTY APPRAISAL DISTRI</v>
      </c>
      <c r="J670" s="2">
        <v>4989.23</v>
      </c>
    </row>
    <row r="671" spans="1:10" ht="15">
      <c r="A671" t="s">
        <v>52</v>
      </c>
      <c r="B671" t="s">
        <v>11</v>
      </c>
      <c r="C671">
        <v>52886</v>
      </c>
      <c r="D671" s="2">
        <v>45</v>
      </c>
      <c r="E671" s="1">
        <v>42690</v>
      </c>
      <c r="F671" t="s">
        <v>18</v>
      </c>
      <c r="G671" t="s">
        <v>13</v>
      </c>
      <c r="H671" t="str">
        <f>"48234"</f>
        <v>48234</v>
      </c>
      <c r="I671" t="str">
        <f>"LOPEZ EXTERMINATING SERVICE  I"</f>
        <v>LOPEZ EXTERMINATING SERVICE  I</v>
      </c>
      <c r="J671" s="2">
        <v>45</v>
      </c>
    </row>
    <row r="672" spans="1:10" ht="15">
      <c r="A672" t="s">
        <v>202</v>
      </c>
      <c r="B672" t="s">
        <v>11</v>
      </c>
      <c r="C672">
        <v>52887</v>
      </c>
      <c r="D672" s="2">
        <v>3567.76</v>
      </c>
      <c r="E672" s="1">
        <v>42690</v>
      </c>
      <c r="F672" t="s">
        <v>18</v>
      </c>
      <c r="G672" t="s">
        <v>13</v>
      </c>
      <c r="H672" t="str">
        <f>"ACCT#99-991301-6"</f>
        <v>ACCT#99-991301-6</v>
      </c>
      <c r="I672" t="str">
        <f>"TEXAS WORKFORCE COMMISSION"</f>
        <v>TEXAS WORKFORCE COMMISSION</v>
      </c>
      <c r="J672" s="2">
        <v>3567.76</v>
      </c>
    </row>
    <row r="673" spans="1:10" ht="15">
      <c r="A673" t="s">
        <v>54</v>
      </c>
      <c r="B673" t="s">
        <v>11</v>
      </c>
      <c r="C673">
        <v>52888</v>
      </c>
      <c r="D673" s="2">
        <v>21039.5</v>
      </c>
      <c r="E673" s="1">
        <v>42690</v>
      </c>
      <c r="F673" t="s">
        <v>18</v>
      </c>
      <c r="G673" t="s">
        <v>13</v>
      </c>
      <c r="H673" t="str">
        <f>"1408"</f>
        <v>1408</v>
      </c>
      <c r="I673" t="str">
        <f aca="true" t="shared" si="16" ref="I673:I682">"THE LAW OFFICES OF LOUIS T. RO"</f>
        <v>THE LAW OFFICES OF LOUIS T. RO</v>
      </c>
      <c r="J673" s="2">
        <v>2052</v>
      </c>
    </row>
    <row r="674" spans="7:10" ht="15">
      <c r="G674" t="s">
        <v>13</v>
      </c>
      <c r="H674" t="str">
        <f>"1409"</f>
        <v>1409</v>
      </c>
      <c r="I674" t="str">
        <f t="shared" si="16"/>
        <v>THE LAW OFFICES OF LOUIS T. RO</v>
      </c>
      <c r="J674" s="2">
        <v>1912.5</v>
      </c>
    </row>
    <row r="675" spans="7:10" ht="15">
      <c r="G675" t="s">
        <v>13</v>
      </c>
      <c r="H675" t="str">
        <f>"1410"</f>
        <v>1410</v>
      </c>
      <c r="I675" t="str">
        <f t="shared" si="16"/>
        <v>THE LAW OFFICES OF LOUIS T. RO</v>
      </c>
      <c r="J675" s="2">
        <v>1224</v>
      </c>
    </row>
    <row r="676" spans="7:10" ht="15">
      <c r="G676" t="s">
        <v>13</v>
      </c>
      <c r="H676" t="str">
        <f>"1411"</f>
        <v>1411</v>
      </c>
      <c r="I676" t="str">
        <f t="shared" si="16"/>
        <v>THE LAW OFFICES OF LOUIS T. RO</v>
      </c>
      <c r="J676" s="2">
        <v>5572.5</v>
      </c>
    </row>
    <row r="677" spans="7:10" ht="15">
      <c r="G677" t="s">
        <v>13</v>
      </c>
      <c r="H677" t="str">
        <f>"1413"</f>
        <v>1413</v>
      </c>
      <c r="I677" t="str">
        <f t="shared" si="16"/>
        <v>THE LAW OFFICES OF LOUIS T. RO</v>
      </c>
      <c r="J677" s="2">
        <v>833.5</v>
      </c>
    </row>
    <row r="678" spans="7:10" ht="15">
      <c r="G678" t="s">
        <v>13</v>
      </c>
      <c r="H678" t="str">
        <f>"1414"</f>
        <v>1414</v>
      </c>
      <c r="I678" t="str">
        <f t="shared" si="16"/>
        <v>THE LAW OFFICES OF LOUIS T. RO</v>
      </c>
      <c r="J678" s="2">
        <v>4440.5</v>
      </c>
    </row>
    <row r="679" spans="7:10" ht="15">
      <c r="G679" t="s">
        <v>13</v>
      </c>
      <c r="H679" t="str">
        <f>"1415"</f>
        <v>1415</v>
      </c>
      <c r="I679" t="str">
        <f t="shared" si="16"/>
        <v>THE LAW OFFICES OF LOUIS T. RO</v>
      </c>
      <c r="J679" s="2">
        <v>1494</v>
      </c>
    </row>
    <row r="680" spans="7:10" ht="15">
      <c r="G680" t="s">
        <v>13</v>
      </c>
      <c r="H680" t="str">
        <f>"1416"</f>
        <v>1416</v>
      </c>
      <c r="I680" t="str">
        <f t="shared" si="16"/>
        <v>THE LAW OFFICES OF LOUIS T. RO</v>
      </c>
      <c r="J680" s="2">
        <v>486</v>
      </c>
    </row>
    <row r="681" spans="7:10" ht="15">
      <c r="G681" t="s">
        <v>13</v>
      </c>
      <c r="H681" t="str">
        <f>"1417"</f>
        <v>1417</v>
      </c>
      <c r="I681" t="str">
        <f t="shared" si="16"/>
        <v>THE LAW OFFICES OF LOUIS T. RO</v>
      </c>
      <c r="J681" s="2">
        <v>2628.5</v>
      </c>
    </row>
    <row r="682" spans="7:10" ht="15">
      <c r="G682" t="s">
        <v>13</v>
      </c>
      <c r="H682" t="str">
        <f>"1418"</f>
        <v>1418</v>
      </c>
      <c r="I682" t="str">
        <f t="shared" si="16"/>
        <v>THE LAW OFFICES OF LOUIS T. RO</v>
      </c>
      <c r="J682" s="2">
        <v>396</v>
      </c>
    </row>
    <row r="683" spans="1:10" ht="15">
      <c r="A683" t="s">
        <v>203</v>
      </c>
      <c r="B683" t="s">
        <v>11</v>
      </c>
      <c r="C683">
        <v>52890</v>
      </c>
      <c r="D683" s="2">
        <v>418.14</v>
      </c>
      <c r="E683" s="1">
        <v>42690</v>
      </c>
      <c r="F683" t="s">
        <v>18</v>
      </c>
      <c r="G683" t="s">
        <v>13</v>
      </c>
      <c r="H683" t="str">
        <f>"0277768-IN"</f>
        <v>0277768-IN</v>
      </c>
      <c r="I683" t="str">
        <f>"SIRCHIE"</f>
        <v>SIRCHIE</v>
      </c>
      <c r="J683" s="2">
        <v>418.14</v>
      </c>
    </row>
    <row r="684" spans="1:10" ht="15">
      <c r="A684" t="s">
        <v>57</v>
      </c>
      <c r="B684" t="s">
        <v>11</v>
      </c>
      <c r="C684">
        <v>52891</v>
      </c>
      <c r="D684" s="2">
        <v>1881.91</v>
      </c>
      <c r="E684" s="1">
        <v>42690</v>
      </c>
      <c r="F684" t="s">
        <v>18</v>
      </c>
      <c r="G684" t="s">
        <v>13</v>
      </c>
      <c r="H684" t="str">
        <f>"L05351"</f>
        <v>L05351</v>
      </c>
      <c r="I684" t="str">
        <f>"ASCO"</f>
        <v>ASCO</v>
      </c>
      <c r="J684" s="2">
        <v>1881.91</v>
      </c>
    </row>
    <row r="685" spans="1:10" ht="15">
      <c r="A685" t="s">
        <v>59</v>
      </c>
      <c r="B685" t="s">
        <v>11</v>
      </c>
      <c r="C685">
        <v>52892</v>
      </c>
      <c r="D685" s="2">
        <v>22.44</v>
      </c>
      <c r="E685" s="1">
        <v>42690</v>
      </c>
      <c r="F685" t="s">
        <v>18</v>
      </c>
      <c r="G685" t="s">
        <v>13</v>
      </c>
      <c r="H685" t="str">
        <f>"3377456"</f>
        <v>3377456</v>
      </c>
      <c r="I685" t="str">
        <f>"EWALD TRACTOR SUPPLY"</f>
        <v>EWALD TRACTOR SUPPLY</v>
      </c>
      <c r="J685" s="2">
        <v>22.44</v>
      </c>
    </row>
    <row r="686" spans="1:10" ht="15">
      <c r="A686" t="s">
        <v>204</v>
      </c>
      <c r="B686" t="s">
        <v>11</v>
      </c>
      <c r="C686">
        <v>52893</v>
      </c>
      <c r="D686" s="2">
        <v>1167.56</v>
      </c>
      <c r="E686" s="1">
        <v>42690</v>
      </c>
      <c r="F686" t="s">
        <v>18</v>
      </c>
      <c r="G686" t="s">
        <v>13</v>
      </c>
      <c r="H686" t="str">
        <f>"DVS118143"</f>
        <v>DVS118143</v>
      </c>
      <c r="I686" t="str">
        <f>"DOMINION VOTING"</f>
        <v>DOMINION VOTING</v>
      </c>
      <c r="J686" s="2">
        <v>1167.56</v>
      </c>
    </row>
    <row r="687" spans="1:10" ht="15">
      <c r="A687" t="s">
        <v>205</v>
      </c>
      <c r="B687" t="s">
        <v>11</v>
      </c>
      <c r="C687">
        <v>52894</v>
      </c>
      <c r="D687" s="2">
        <v>6143.28</v>
      </c>
      <c r="E687" s="1">
        <v>42690</v>
      </c>
      <c r="F687" t="s">
        <v>18</v>
      </c>
      <c r="G687" t="s">
        <v>13</v>
      </c>
      <c r="H687" t="str">
        <f>"46893090-4002"</f>
        <v>46893090-4002</v>
      </c>
      <c r="I687" t="str">
        <f>"ACCOUNTEMPS"</f>
        <v>ACCOUNTEMPS</v>
      </c>
      <c r="J687" s="2">
        <v>4766.5</v>
      </c>
    </row>
    <row r="688" spans="7:10" ht="15">
      <c r="G688" t="s">
        <v>13</v>
      </c>
      <c r="H688" t="str">
        <f>"47046425"</f>
        <v>47046425</v>
      </c>
      <c r="I688" t="str">
        <f>"ACCOUNTEMPS"</f>
        <v>ACCOUNTEMPS</v>
      </c>
      <c r="J688" s="2">
        <v>1376.78</v>
      </c>
    </row>
    <row r="689" spans="1:10" ht="15">
      <c r="A689" t="s">
        <v>63</v>
      </c>
      <c r="B689" t="s">
        <v>11</v>
      </c>
      <c r="C689">
        <v>52895</v>
      </c>
      <c r="D689" s="2">
        <v>51.85</v>
      </c>
      <c r="E689" s="1">
        <v>42690</v>
      </c>
      <c r="F689" t="s">
        <v>18</v>
      </c>
      <c r="G689" t="s">
        <v>13</v>
      </c>
      <c r="H689" t="str">
        <f>"087550392"</f>
        <v>087550392</v>
      </c>
      <c r="I689" t="str">
        <f>"CINTAS CORPORATION #087"</f>
        <v>CINTAS CORPORATION #087</v>
      </c>
      <c r="J689" s="2">
        <v>51.85</v>
      </c>
    </row>
    <row r="690" spans="1:10" ht="15">
      <c r="A690" t="s">
        <v>64</v>
      </c>
      <c r="B690" t="s">
        <v>11</v>
      </c>
      <c r="C690">
        <v>52896</v>
      </c>
      <c r="D690" s="2">
        <v>113</v>
      </c>
      <c r="E690" s="1">
        <v>42690</v>
      </c>
      <c r="F690" t="s">
        <v>18</v>
      </c>
      <c r="G690" t="s">
        <v>13</v>
      </c>
      <c r="H690" t="str">
        <f>"722257"</f>
        <v>722257</v>
      </c>
      <c r="I690" t="str">
        <f>"VILLA TIRES"</f>
        <v>VILLA TIRES</v>
      </c>
      <c r="J690" s="2">
        <v>49</v>
      </c>
    </row>
    <row r="691" spans="7:10" ht="15">
      <c r="G691" t="s">
        <v>13</v>
      </c>
      <c r="H691" t="str">
        <f>"722265"</f>
        <v>722265</v>
      </c>
      <c r="I691" t="str">
        <f>"VILLA TIRES"</f>
        <v>VILLA TIRES</v>
      </c>
      <c r="J691" s="2">
        <v>64</v>
      </c>
    </row>
    <row r="692" spans="1:10" ht="15">
      <c r="A692" t="s">
        <v>206</v>
      </c>
      <c r="B692" t="s">
        <v>11</v>
      </c>
      <c r="C692">
        <v>52897</v>
      </c>
      <c r="D692" s="2">
        <v>2380.25</v>
      </c>
      <c r="E692" s="1">
        <v>42690</v>
      </c>
      <c r="F692" t="s">
        <v>18</v>
      </c>
      <c r="G692" t="s">
        <v>13</v>
      </c>
      <c r="H692" t="str">
        <f>"201611167778"</f>
        <v>201611167778</v>
      </c>
      <c r="I692" t="s">
        <v>317</v>
      </c>
      <c r="J692" s="2">
        <v>71.5</v>
      </c>
    </row>
    <row r="693" spans="7:10" ht="15">
      <c r="G693" t="s">
        <v>13</v>
      </c>
      <c r="H693" t="str">
        <f>"ELECTION 2016"</f>
        <v>ELECTION 2016</v>
      </c>
      <c r="I693" t="s">
        <v>317</v>
      </c>
      <c r="J693" s="2">
        <v>2308.75</v>
      </c>
    </row>
    <row r="694" spans="1:10" ht="15">
      <c r="A694" t="s">
        <v>207</v>
      </c>
      <c r="B694" t="s">
        <v>11</v>
      </c>
      <c r="C694">
        <v>52898</v>
      </c>
      <c r="D694" s="2">
        <v>340.75</v>
      </c>
      <c r="E694" s="1">
        <v>42690</v>
      </c>
      <c r="F694" t="s">
        <v>18</v>
      </c>
      <c r="G694" t="s">
        <v>13</v>
      </c>
      <c r="H694" t="str">
        <f>"ACCT#500721299"</f>
        <v>ACCT#500721299</v>
      </c>
      <c r="I694" t="str">
        <f>"ASCAP"</f>
        <v>ASCAP</v>
      </c>
      <c r="J694" s="2">
        <v>340.75</v>
      </c>
    </row>
    <row r="695" spans="1:10" ht="15">
      <c r="A695" t="s">
        <v>66</v>
      </c>
      <c r="B695" t="s">
        <v>11</v>
      </c>
      <c r="C695">
        <v>52899</v>
      </c>
      <c r="D695" s="2">
        <v>1560</v>
      </c>
      <c r="E695" s="1">
        <v>42690</v>
      </c>
      <c r="F695" t="s">
        <v>18</v>
      </c>
      <c r="G695" t="s">
        <v>13</v>
      </c>
      <c r="H695" t="str">
        <f>"OCTOBER FOOD PER"</f>
        <v>OCTOBER FOOD PER</v>
      </c>
      <c r="I695" t="str">
        <f>"WILSON COUNTY AUDITOR"</f>
        <v>WILSON COUNTY AUDITOR</v>
      </c>
      <c r="J695" s="2">
        <v>1560</v>
      </c>
    </row>
    <row r="696" spans="1:10" ht="15">
      <c r="A696" t="s">
        <v>67</v>
      </c>
      <c r="B696" t="s">
        <v>11</v>
      </c>
      <c r="C696">
        <v>52900</v>
      </c>
      <c r="D696" s="2">
        <v>310.5</v>
      </c>
      <c r="E696" s="1">
        <v>42690</v>
      </c>
      <c r="F696" t="s">
        <v>18</v>
      </c>
      <c r="G696" t="s">
        <v>13</v>
      </c>
      <c r="H696" t="str">
        <f>"201611167775"</f>
        <v>201611167775</v>
      </c>
      <c r="I696" t="s">
        <v>314</v>
      </c>
      <c r="J696" s="2">
        <v>310.5</v>
      </c>
    </row>
    <row r="697" spans="1:10" ht="15">
      <c r="A697" t="s">
        <v>120</v>
      </c>
      <c r="B697" t="s">
        <v>11</v>
      </c>
      <c r="C697">
        <v>52901</v>
      </c>
      <c r="D697" s="2">
        <v>953.09</v>
      </c>
      <c r="E697" s="1">
        <v>42690</v>
      </c>
      <c r="F697" t="s">
        <v>18</v>
      </c>
      <c r="G697" t="s">
        <v>13</v>
      </c>
      <c r="H697" t="str">
        <f>"11136483"</f>
        <v>11136483</v>
      </c>
      <c r="I697" t="str">
        <f>"MCCOY'S CORPORATION"</f>
        <v>MCCOY'S CORPORATION</v>
      </c>
      <c r="J697" s="2">
        <v>824.83</v>
      </c>
    </row>
    <row r="698" spans="7:10" ht="15">
      <c r="G698" t="s">
        <v>13</v>
      </c>
      <c r="H698" t="str">
        <f>"11136576"</f>
        <v>11136576</v>
      </c>
      <c r="I698" t="str">
        <f>"MCCOY'S CORPORATION"</f>
        <v>MCCOY'S CORPORATION</v>
      </c>
      <c r="J698" s="2">
        <v>128.26</v>
      </c>
    </row>
    <row r="699" spans="1:10" ht="15">
      <c r="A699" t="s">
        <v>174</v>
      </c>
      <c r="B699" t="s">
        <v>11</v>
      </c>
      <c r="C699">
        <v>52902</v>
      </c>
      <c r="D699" s="2">
        <v>2514.93</v>
      </c>
      <c r="E699" s="1">
        <v>42690</v>
      </c>
      <c r="F699" t="s">
        <v>18</v>
      </c>
      <c r="G699" t="s">
        <v>13</v>
      </c>
      <c r="H699" t="str">
        <f>"16055"</f>
        <v>16055</v>
      </c>
      <c r="I699" t="str">
        <f>"AB WOODWORKS"</f>
        <v>AB WOODWORKS</v>
      </c>
      <c r="J699" s="2">
        <v>2514.93</v>
      </c>
    </row>
    <row r="700" spans="1:10" ht="15">
      <c r="A700" t="s">
        <v>208</v>
      </c>
      <c r="B700" t="s">
        <v>11</v>
      </c>
      <c r="C700">
        <v>52903</v>
      </c>
      <c r="D700" s="2">
        <v>1558</v>
      </c>
      <c r="E700" s="1">
        <v>42690</v>
      </c>
      <c r="F700" t="s">
        <v>18</v>
      </c>
      <c r="G700" t="s">
        <v>13</v>
      </c>
      <c r="H700" t="str">
        <f>"201611167779"</f>
        <v>201611167779</v>
      </c>
      <c r="I700" t="s">
        <v>317</v>
      </c>
      <c r="J700" s="2">
        <v>71.5</v>
      </c>
    </row>
    <row r="701" spans="7:10" ht="15">
      <c r="G701" t="s">
        <v>13</v>
      </c>
      <c r="H701" t="str">
        <f>"ELECTION 2016"</f>
        <v>ELECTION 2016</v>
      </c>
      <c r="I701" t="s">
        <v>317</v>
      </c>
      <c r="J701" s="2">
        <v>1486.5</v>
      </c>
    </row>
    <row r="702" spans="1:10" ht="15">
      <c r="A702" t="s">
        <v>175</v>
      </c>
      <c r="B702" t="s">
        <v>11</v>
      </c>
      <c r="C702">
        <v>52904</v>
      </c>
      <c r="D702" s="2">
        <v>250</v>
      </c>
      <c r="E702" s="1">
        <v>42690</v>
      </c>
      <c r="F702" t="s">
        <v>18</v>
      </c>
      <c r="G702" t="s">
        <v>13</v>
      </c>
      <c r="H702" t="str">
        <f>"20255"</f>
        <v>20255</v>
      </c>
      <c r="I702" t="str">
        <f>"ANGEL FIRE &amp; SAFETY"</f>
        <v>ANGEL FIRE &amp; SAFETY</v>
      </c>
      <c r="J702" s="2">
        <v>65</v>
      </c>
    </row>
    <row r="703" spans="7:10" ht="15">
      <c r="G703" t="s">
        <v>13</v>
      </c>
      <c r="H703" t="str">
        <f>"20292"</f>
        <v>20292</v>
      </c>
      <c r="I703" t="str">
        <f>"ANGEL FIRE &amp; SAFETY"</f>
        <v>ANGEL FIRE &amp; SAFETY</v>
      </c>
      <c r="J703" s="2">
        <v>185</v>
      </c>
    </row>
    <row r="704" spans="1:10" ht="15">
      <c r="A704" t="s">
        <v>184</v>
      </c>
      <c r="B704" t="s">
        <v>11</v>
      </c>
      <c r="C704">
        <v>52905</v>
      </c>
      <c r="D704" s="2">
        <v>3500</v>
      </c>
      <c r="E704" s="1">
        <v>42690</v>
      </c>
      <c r="F704" t="s">
        <v>15</v>
      </c>
      <c r="G704" t="s">
        <v>13</v>
      </c>
      <c r="H704" t="str">
        <f>"201611167774"</f>
        <v>201611167774</v>
      </c>
      <c r="I704" t="s">
        <v>314</v>
      </c>
      <c r="J704" s="2">
        <v>3500</v>
      </c>
    </row>
    <row r="705" spans="1:10" ht="15">
      <c r="A705" t="s">
        <v>184</v>
      </c>
      <c r="B705" t="s">
        <v>11</v>
      </c>
      <c r="C705">
        <v>52905</v>
      </c>
      <c r="D705" s="2">
        <v>3500</v>
      </c>
      <c r="E705" s="1">
        <v>42690</v>
      </c>
      <c r="F705" t="s">
        <v>15</v>
      </c>
      <c r="G705" t="s">
        <v>16</v>
      </c>
      <c r="H705" t="str">
        <f>"CHECK"</f>
        <v>CHECK</v>
      </c>
      <c r="I705">
        <f>""</f>
      </c>
      <c r="J705" s="2">
        <v>3500</v>
      </c>
    </row>
    <row r="706" spans="1:10" ht="15">
      <c r="A706" t="s">
        <v>209</v>
      </c>
      <c r="B706" t="s">
        <v>11</v>
      </c>
      <c r="C706">
        <v>52906</v>
      </c>
      <c r="D706" s="2">
        <v>7007.24</v>
      </c>
      <c r="E706" s="1">
        <v>42690</v>
      </c>
      <c r="F706" t="s">
        <v>18</v>
      </c>
      <c r="G706" t="s">
        <v>13</v>
      </c>
      <c r="H706" t="str">
        <f>"CWQ0049444"</f>
        <v>CWQ0049444</v>
      </c>
      <c r="I706" t="str">
        <f>"TEXAS COMMISSION ON ENVIRONMEN"</f>
        <v>TEXAS COMMISSION ON ENVIRONMEN</v>
      </c>
      <c r="J706" s="2">
        <v>7007.24</v>
      </c>
    </row>
    <row r="707" spans="1:10" ht="15">
      <c r="A707" t="s">
        <v>104</v>
      </c>
      <c r="B707" t="s">
        <v>11</v>
      </c>
      <c r="C707">
        <v>52907</v>
      </c>
      <c r="D707" s="2">
        <v>272.09</v>
      </c>
      <c r="E707" s="1">
        <v>42690</v>
      </c>
      <c r="F707" t="s">
        <v>18</v>
      </c>
      <c r="G707" t="s">
        <v>13</v>
      </c>
      <c r="H707" t="str">
        <f>"A.M.11/16"</f>
        <v>A.M.11/16</v>
      </c>
      <c r="I707" t="str">
        <f>"CITY OF FLORESVILLE -PETTY CAS"</f>
        <v>CITY OF FLORESVILLE -PETTY CAS</v>
      </c>
      <c r="J707" s="2">
        <v>70</v>
      </c>
    </row>
    <row r="708" spans="7:10" ht="15">
      <c r="G708" t="s">
        <v>13</v>
      </c>
      <c r="H708" t="str">
        <f>"AM POSTAGE"</f>
        <v>AM POSTAGE</v>
      </c>
      <c r="I708" t="str">
        <f>"CITY OF FLORESVILLE -PETTY CAS"</f>
        <v>CITY OF FLORESVILLE -PETTY CAS</v>
      </c>
      <c r="J708" s="2">
        <v>152.09</v>
      </c>
    </row>
    <row r="709" spans="7:10" ht="15">
      <c r="G709" t="s">
        <v>13</v>
      </c>
      <c r="H709" t="str">
        <f>"REPLENISH"</f>
        <v>REPLENISH</v>
      </c>
      <c r="I709" t="str">
        <f>"CITY OF FLORESVILLE -PETTY CAS"</f>
        <v>CITY OF FLORESVILLE -PETTY CAS</v>
      </c>
      <c r="J709" s="2">
        <v>50</v>
      </c>
    </row>
    <row r="710" spans="1:10" ht="15">
      <c r="A710" t="s">
        <v>122</v>
      </c>
      <c r="B710" t="s">
        <v>11</v>
      </c>
      <c r="C710">
        <v>52908</v>
      </c>
      <c r="D710" s="2">
        <v>54.38</v>
      </c>
      <c r="E710" s="1">
        <v>42690</v>
      </c>
      <c r="F710" t="s">
        <v>18</v>
      </c>
      <c r="G710" t="s">
        <v>13</v>
      </c>
      <c r="H710" t="str">
        <f>"P10224"</f>
        <v>P10224</v>
      </c>
      <c r="I710" t="str">
        <f>"AG-PRO COMPANIES"</f>
        <v>AG-PRO COMPANIES</v>
      </c>
      <c r="J710" s="2">
        <v>54.38</v>
      </c>
    </row>
    <row r="711" spans="1:10" ht="15">
      <c r="A711" t="s">
        <v>210</v>
      </c>
      <c r="B711" t="s">
        <v>11</v>
      </c>
      <c r="C711">
        <v>52909</v>
      </c>
      <c r="D711" s="2">
        <v>165</v>
      </c>
      <c r="E711" s="1">
        <v>42690</v>
      </c>
      <c r="F711" t="s">
        <v>18</v>
      </c>
      <c r="G711" t="s">
        <v>13</v>
      </c>
      <c r="H711" t="str">
        <f>"11/12/16"</f>
        <v>11/12/16</v>
      </c>
      <c r="I711" t="str">
        <f>"SHARON KERRIGAN"</f>
        <v>SHARON KERRIGAN</v>
      </c>
      <c r="J711" s="2">
        <v>90</v>
      </c>
    </row>
    <row r="712" spans="7:10" ht="15">
      <c r="G712" t="s">
        <v>13</v>
      </c>
      <c r="H712" t="str">
        <f>"11/5/2016"</f>
        <v>11/5/2016</v>
      </c>
      <c r="I712" t="str">
        <f>"SHARON KERRIGAN"</f>
        <v>SHARON KERRIGAN</v>
      </c>
      <c r="J712" s="2">
        <v>75</v>
      </c>
    </row>
    <row r="713" spans="1:10" ht="15">
      <c r="A713" t="s">
        <v>131</v>
      </c>
      <c r="B713" t="s">
        <v>11</v>
      </c>
      <c r="C713">
        <v>52910</v>
      </c>
      <c r="D713" s="2">
        <v>165</v>
      </c>
      <c r="E713" s="1">
        <v>42690</v>
      </c>
      <c r="F713" t="s">
        <v>18</v>
      </c>
      <c r="G713" t="s">
        <v>13</v>
      </c>
      <c r="H713" t="str">
        <f>"11/12/16"</f>
        <v>11/12/16</v>
      </c>
      <c r="I713" t="str">
        <f>"DEBORAH KORCZYK"</f>
        <v>DEBORAH KORCZYK</v>
      </c>
      <c r="J713" s="2">
        <v>90</v>
      </c>
    </row>
    <row r="714" spans="7:10" ht="15">
      <c r="G714" t="s">
        <v>13</v>
      </c>
      <c r="H714" t="str">
        <f>"11/5/16"</f>
        <v>11/5/16</v>
      </c>
      <c r="I714" t="str">
        <f>"DEBORAH KORCZYK"</f>
        <v>DEBORAH KORCZYK</v>
      </c>
      <c r="J714" s="2">
        <v>75</v>
      </c>
    </row>
    <row r="715" spans="1:10" ht="15">
      <c r="A715" t="s">
        <v>77</v>
      </c>
      <c r="B715" t="s">
        <v>11</v>
      </c>
      <c r="C715">
        <v>52911</v>
      </c>
      <c r="D715" s="2">
        <v>32.88</v>
      </c>
      <c r="E715" s="1">
        <v>42690</v>
      </c>
      <c r="F715" t="s">
        <v>18</v>
      </c>
      <c r="G715" t="s">
        <v>13</v>
      </c>
      <c r="H715" t="str">
        <f>"011898"</f>
        <v>011898</v>
      </c>
      <c r="I715" t="str">
        <f>"R &amp; S TEXAS PARTS CO"</f>
        <v>R &amp; S TEXAS PARTS CO</v>
      </c>
      <c r="J715" s="2">
        <v>32.88</v>
      </c>
    </row>
    <row r="716" spans="1:10" ht="15">
      <c r="A716" t="s">
        <v>211</v>
      </c>
      <c r="B716" t="s">
        <v>11</v>
      </c>
      <c r="C716">
        <v>52912</v>
      </c>
      <c r="D716" s="2">
        <v>1500</v>
      </c>
      <c r="E716" s="1">
        <v>42690</v>
      </c>
      <c r="F716" t="s">
        <v>18</v>
      </c>
      <c r="G716" t="s">
        <v>13</v>
      </c>
      <c r="H716" t="str">
        <f>"120116"</f>
        <v>120116</v>
      </c>
      <c r="I716" t="str">
        <f>"FULLER COMPANY"</f>
        <v>FULLER COMPANY</v>
      </c>
      <c r="J716" s="2">
        <v>1500</v>
      </c>
    </row>
    <row r="717" spans="1:10" ht="15">
      <c r="A717" t="s">
        <v>126</v>
      </c>
      <c r="B717" t="s">
        <v>11</v>
      </c>
      <c r="C717">
        <v>52913</v>
      </c>
      <c r="D717" s="2">
        <v>155</v>
      </c>
      <c r="E717" s="1">
        <v>42690</v>
      </c>
      <c r="F717" t="s">
        <v>18</v>
      </c>
      <c r="G717" t="s">
        <v>13</v>
      </c>
      <c r="H717" t="str">
        <f>"115/2016"</f>
        <v>115/2016</v>
      </c>
      <c r="I717" t="str">
        <f>"SHIRLEY UNDERWOOD"</f>
        <v>SHIRLEY UNDERWOOD</v>
      </c>
      <c r="J717" s="2">
        <v>80</v>
      </c>
    </row>
    <row r="718" spans="7:10" ht="15">
      <c r="G718" t="s">
        <v>13</v>
      </c>
      <c r="H718" t="str">
        <f>"201611167776"</f>
        <v>201611167776</v>
      </c>
      <c r="I718" t="str">
        <f>"SHIRLEY UNDERWOOD"</f>
        <v>SHIRLEY UNDERWOOD</v>
      </c>
      <c r="J718" s="2">
        <v>75</v>
      </c>
    </row>
    <row r="719" spans="1:10" ht="15">
      <c r="A719" t="s">
        <v>212</v>
      </c>
      <c r="B719" t="s">
        <v>11</v>
      </c>
      <c r="C719">
        <v>52914</v>
      </c>
      <c r="D719" s="2">
        <v>357.45</v>
      </c>
      <c r="E719" s="1">
        <v>42690</v>
      </c>
      <c r="F719" t="s">
        <v>18</v>
      </c>
      <c r="G719" t="s">
        <v>13</v>
      </c>
      <c r="H719" t="str">
        <f>"BC0339939"</f>
        <v>BC0339939</v>
      </c>
      <c r="I719" t="str">
        <f>"GALLS  LLC-D.B.A. STERLING'S U"</f>
        <v>GALLS  LLC-D.B.A. STERLING'S U</v>
      </c>
      <c r="J719" s="2">
        <v>357.45</v>
      </c>
    </row>
    <row r="720" spans="1:10" ht="15">
      <c r="A720" t="s">
        <v>213</v>
      </c>
      <c r="B720" t="s">
        <v>11</v>
      </c>
      <c r="C720">
        <v>52915</v>
      </c>
      <c r="D720" s="2">
        <v>870</v>
      </c>
      <c r="E720" s="1">
        <v>42690</v>
      </c>
      <c r="F720" t="s">
        <v>18</v>
      </c>
      <c r="G720" t="s">
        <v>13</v>
      </c>
      <c r="H720" t="str">
        <f>"2016-35"</f>
        <v>2016-35</v>
      </c>
      <c r="I720" t="str">
        <f>"BULLDOG MACHINE SERVICES"</f>
        <v>BULLDOG MACHINE SERVICES</v>
      </c>
      <c r="J720" s="2">
        <v>870</v>
      </c>
    </row>
    <row r="721" spans="1:10" ht="15">
      <c r="A721" t="s">
        <v>214</v>
      </c>
      <c r="B721" t="s">
        <v>11</v>
      </c>
      <c r="C721">
        <v>52916</v>
      </c>
      <c r="D721" s="2">
        <v>197.5</v>
      </c>
      <c r="E721" s="1">
        <v>42690</v>
      </c>
      <c r="F721" t="s">
        <v>18</v>
      </c>
      <c r="G721" t="s">
        <v>13</v>
      </c>
      <c r="H721" t="str">
        <f>"4526969"</f>
        <v>4526969</v>
      </c>
      <c r="I721" t="str">
        <f>"BEARCOM WIRELESS WORLDWIDE"</f>
        <v>BEARCOM WIRELESS WORLDWIDE</v>
      </c>
      <c r="J721" s="2">
        <v>197.5</v>
      </c>
    </row>
    <row r="722" spans="1:10" ht="15">
      <c r="A722" t="s">
        <v>215</v>
      </c>
      <c r="B722" t="s">
        <v>11</v>
      </c>
      <c r="C722">
        <v>52917</v>
      </c>
      <c r="D722" s="2">
        <v>5500</v>
      </c>
      <c r="E722" s="1">
        <v>42690</v>
      </c>
      <c r="F722" t="s">
        <v>18</v>
      </c>
      <c r="G722" t="s">
        <v>13</v>
      </c>
      <c r="H722" t="str">
        <f>"201611167773"</f>
        <v>201611167773</v>
      </c>
      <c r="I722" t="str">
        <f>"LJ PLUMBING"</f>
        <v>LJ PLUMBING</v>
      </c>
      <c r="J722" s="2">
        <v>5500</v>
      </c>
    </row>
    <row r="723" spans="1:10" ht="15">
      <c r="A723" t="s">
        <v>216</v>
      </c>
      <c r="B723" t="s">
        <v>11</v>
      </c>
      <c r="C723">
        <v>52918</v>
      </c>
      <c r="D723" s="2">
        <v>2238.02</v>
      </c>
      <c r="E723" s="1">
        <v>42690</v>
      </c>
      <c r="F723" t="s">
        <v>18</v>
      </c>
      <c r="G723" t="s">
        <v>13</v>
      </c>
      <c r="H723" t="str">
        <f>"*64443"</f>
        <v>*64443</v>
      </c>
      <c r="I723" t="str">
        <f>"TITAN WIRELESS"</f>
        <v>TITAN WIRELESS</v>
      </c>
      <c r="J723" s="2">
        <v>1089</v>
      </c>
    </row>
    <row r="724" spans="7:10" ht="15">
      <c r="G724" t="s">
        <v>13</v>
      </c>
      <c r="H724" t="str">
        <f>"64443"</f>
        <v>64443</v>
      </c>
      <c r="I724" t="str">
        <f>"TITAN WIRELESS"</f>
        <v>TITAN WIRELESS</v>
      </c>
      <c r="J724" s="2">
        <v>1149.02</v>
      </c>
    </row>
    <row r="725" spans="1:10" ht="15">
      <c r="A725" t="s">
        <v>217</v>
      </c>
      <c r="B725" t="s">
        <v>11</v>
      </c>
      <c r="C725">
        <v>52919</v>
      </c>
      <c r="D725" s="2">
        <v>582</v>
      </c>
      <c r="E725" s="1">
        <v>42691</v>
      </c>
      <c r="F725" t="s">
        <v>18</v>
      </c>
      <c r="G725" t="s">
        <v>13</v>
      </c>
      <c r="H725" t="str">
        <f>"11/16"</f>
        <v>11/16</v>
      </c>
      <c r="I725" t="str">
        <f>"GLI DISTRIBUTING"</f>
        <v>GLI DISTRIBUTING</v>
      </c>
      <c r="J725" s="2">
        <v>582</v>
      </c>
    </row>
    <row r="726" spans="1:10" ht="15">
      <c r="A726" t="s">
        <v>218</v>
      </c>
      <c r="B726" t="s">
        <v>11</v>
      </c>
      <c r="C726">
        <v>52920</v>
      </c>
      <c r="D726" s="2">
        <v>761.52</v>
      </c>
      <c r="E726" s="1">
        <v>42691</v>
      </c>
      <c r="F726" t="s">
        <v>15</v>
      </c>
      <c r="G726" t="s">
        <v>13</v>
      </c>
      <c r="H726" t="str">
        <f>"11/2016"</f>
        <v>11/2016</v>
      </c>
      <c r="I726" t="str">
        <f>"CITY OF FLORESVILLE-FLEX SPEND"</f>
        <v>CITY OF FLORESVILLE-FLEX SPEND</v>
      </c>
      <c r="J726" s="2">
        <v>761.52</v>
      </c>
    </row>
    <row r="727" spans="1:10" ht="15">
      <c r="A727" t="s">
        <v>218</v>
      </c>
      <c r="B727" t="s">
        <v>11</v>
      </c>
      <c r="C727">
        <v>52920</v>
      </c>
      <c r="D727" s="2">
        <v>761.52</v>
      </c>
      <c r="E727" s="1">
        <v>42691</v>
      </c>
      <c r="F727" t="s">
        <v>15</v>
      </c>
      <c r="G727" t="s">
        <v>16</v>
      </c>
      <c r="H727" t="str">
        <f>"CHECK"</f>
        <v>CHECK</v>
      </c>
      <c r="I727">
        <f>""</f>
      </c>
      <c r="J727" s="2">
        <v>761.52</v>
      </c>
    </row>
    <row r="728" spans="1:10" ht="15">
      <c r="A728" t="s">
        <v>104</v>
      </c>
      <c r="B728" t="s">
        <v>11</v>
      </c>
      <c r="C728">
        <v>52921</v>
      </c>
      <c r="D728" s="2">
        <v>180.36</v>
      </c>
      <c r="E728" s="1">
        <v>42691</v>
      </c>
      <c r="F728" t="s">
        <v>18</v>
      </c>
      <c r="G728" t="s">
        <v>13</v>
      </c>
      <c r="H728" t="str">
        <f>"B.CANTU 11/16"</f>
        <v>B.CANTU 11/16</v>
      </c>
      <c r="I728" t="str">
        <f>"CITY OF FLORESVILLE -PETTY CAS"</f>
        <v>CITY OF FLORESVILLE -PETTY CAS</v>
      </c>
      <c r="J728" s="2">
        <v>180.36</v>
      </c>
    </row>
    <row r="729" spans="1:10" ht="15">
      <c r="A729" t="s">
        <v>104</v>
      </c>
      <c r="B729" t="s">
        <v>11</v>
      </c>
      <c r="C729">
        <v>52922</v>
      </c>
      <c r="D729" s="2">
        <v>611</v>
      </c>
      <c r="E729" s="1">
        <v>42691</v>
      </c>
      <c r="F729" t="s">
        <v>18</v>
      </c>
      <c r="G729" t="s">
        <v>13</v>
      </c>
      <c r="H729" t="str">
        <f>"201611177786"</f>
        <v>201611177786</v>
      </c>
      <c r="I729" t="str">
        <f>"CITY OF FLORESVILLE -PETTY CAS"</f>
        <v>CITY OF FLORESVILLE -PETTY CAS</v>
      </c>
      <c r="J729" s="2">
        <v>500</v>
      </c>
    </row>
    <row r="730" spans="7:10" ht="15">
      <c r="G730" t="s">
        <v>13</v>
      </c>
      <c r="H730" t="str">
        <f>"201611177787"</f>
        <v>201611177787</v>
      </c>
      <c r="I730" t="str">
        <f>"CITY OF FLORESVILLE -PETTY CAS"</f>
        <v>CITY OF FLORESVILLE -PETTY CAS</v>
      </c>
      <c r="J730" s="2">
        <v>111</v>
      </c>
    </row>
    <row r="731" spans="1:10" ht="15">
      <c r="A731" t="s">
        <v>219</v>
      </c>
      <c r="B731" t="s">
        <v>11</v>
      </c>
      <c r="C731">
        <v>52923</v>
      </c>
      <c r="D731" s="2">
        <v>3495</v>
      </c>
      <c r="E731" s="1">
        <v>42691</v>
      </c>
      <c r="F731" t="s">
        <v>18</v>
      </c>
      <c r="G731" t="s">
        <v>13</v>
      </c>
      <c r="H731" t="str">
        <f>"PREBILL-4160"</f>
        <v>PREBILL-4160</v>
      </c>
      <c r="I731" t="str">
        <f>"UNIVISION COMMUNICATIONS INC"</f>
        <v>UNIVISION COMMUNICATIONS INC</v>
      </c>
      <c r="J731" s="2">
        <v>3495</v>
      </c>
    </row>
    <row r="732" spans="1:10" ht="15">
      <c r="A732" t="s">
        <v>220</v>
      </c>
      <c r="B732" t="s">
        <v>11</v>
      </c>
      <c r="C732">
        <v>52924</v>
      </c>
      <c r="D732" s="2">
        <v>2930</v>
      </c>
      <c r="E732" s="1">
        <v>42691</v>
      </c>
      <c r="F732" t="s">
        <v>15</v>
      </c>
      <c r="G732" t="s">
        <v>13</v>
      </c>
      <c r="H732" t="str">
        <f>"201611177788"</f>
        <v>201611177788</v>
      </c>
      <c r="I732" t="str">
        <f>"JESSE XIMENEZ"</f>
        <v>JESSE XIMENEZ</v>
      </c>
      <c r="J732" s="2">
        <v>2930</v>
      </c>
    </row>
    <row r="733" spans="1:10" ht="15">
      <c r="A733" t="s">
        <v>220</v>
      </c>
      <c r="B733" t="s">
        <v>11</v>
      </c>
      <c r="C733">
        <v>52924</v>
      </c>
      <c r="D733" s="2">
        <v>2930</v>
      </c>
      <c r="E733" s="1">
        <v>42691</v>
      </c>
      <c r="F733" t="s">
        <v>15</v>
      </c>
      <c r="G733" t="s">
        <v>16</v>
      </c>
      <c r="H733" t="str">
        <f>"CHECK"</f>
        <v>CHECK</v>
      </c>
      <c r="I733">
        <f>""</f>
      </c>
      <c r="J733" s="2">
        <v>2930</v>
      </c>
    </row>
    <row r="734" spans="1:10" ht="15">
      <c r="A734" t="s">
        <v>221</v>
      </c>
      <c r="B734" t="s">
        <v>11</v>
      </c>
      <c r="C734">
        <v>52925</v>
      </c>
      <c r="D734" s="2">
        <v>967</v>
      </c>
      <c r="E734" s="1">
        <v>42692</v>
      </c>
      <c r="F734" t="s">
        <v>18</v>
      </c>
      <c r="G734" t="s">
        <v>13</v>
      </c>
      <c r="H734" t="str">
        <f>"201611187789"</f>
        <v>201611187789</v>
      </c>
      <c r="I734" t="str">
        <f>"SILVER EAGLE DISTRIBUTORS"</f>
        <v>SILVER EAGLE DISTRIBUTORS</v>
      </c>
      <c r="J734" s="2">
        <v>967</v>
      </c>
    </row>
    <row r="735" spans="1:10" ht="15">
      <c r="A735" t="s">
        <v>222</v>
      </c>
      <c r="B735" t="s">
        <v>11</v>
      </c>
      <c r="C735">
        <v>52926</v>
      </c>
      <c r="D735" s="2">
        <v>2930</v>
      </c>
      <c r="E735" s="1">
        <v>42692</v>
      </c>
      <c r="F735" t="s">
        <v>18</v>
      </c>
      <c r="G735" t="s">
        <v>13</v>
      </c>
      <c r="H735" t="str">
        <f>"201611187790"</f>
        <v>201611187790</v>
      </c>
      <c r="I735" t="str">
        <f>"SOUTHWESTERN CONSTRUCTION CO L"</f>
        <v>SOUTHWESTERN CONSTRUCTION CO L</v>
      </c>
      <c r="J735" s="2">
        <v>2930</v>
      </c>
    </row>
    <row r="736" spans="1:10" ht="15">
      <c r="A736" t="s">
        <v>223</v>
      </c>
      <c r="B736" t="s">
        <v>11</v>
      </c>
      <c r="C736">
        <v>52927</v>
      </c>
      <c r="D736" s="2">
        <v>185</v>
      </c>
      <c r="E736" s="1">
        <v>42695</v>
      </c>
      <c r="F736" t="s">
        <v>15</v>
      </c>
      <c r="G736" t="s">
        <v>13</v>
      </c>
      <c r="H736" t="str">
        <f>"TRAINING"</f>
        <v>TRAINING</v>
      </c>
      <c r="I736" t="s">
        <v>312</v>
      </c>
      <c r="J736" s="2">
        <v>185</v>
      </c>
    </row>
    <row r="737" spans="1:10" ht="15">
      <c r="A737" t="s">
        <v>223</v>
      </c>
      <c r="B737" t="s">
        <v>11</v>
      </c>
      <c r="C737">
        <v>52927</v>
      </c>
      <c r="D737" s="2">
        <v>185</v>
      </c>
      <c r="E737" s="1">
        <v>42695</v>
      </c>
      <c r="F737" t="s">
        <v>15</v>
      </c>
      <c r="G737" t="s">
        <v>16</v>
      </c>
      <c r="H737" t="str">
        <f>"CHECK"</f>
        <v>CHECK</v>
      </c>
      <c r="I737" t="s">
        <v>312</v>
      </c>
      <c r="J737" s="2">
        <v>185</v>
      </c>
    </row>
    <row r="738" spans="1:10" ht="15">
      <c r="A738" t="s">
        <v>181</v>
      </c>
      <c r="B738" t="s">
        <v>11</v>
      </c>
      <c r="C738">
        <v>52928</v>
      </c>
      <c r="D738" s="2">
        <v>36</v>
      </c>
      <c r="E738" s="1">
        <v>42695</v>
      </c>
      <c r="F738" t="s">
        <v>18</v>
      </c>
      <c r="G738" t="s">
        <v>13</v>
      </c>
      <c r="H738" t="str">
        <f>"201611217791"</f>
        <v>201611217791</v>
      </c>
      <c r="I738" t="str">
        <f>"WESTON SIGNS LLC"</f>
        <v>WESTON SIGNS LLC</v>
      </c>
      <c r="J738" s="2">
        <v>36</v>
      </c>
    </row>
    <row r="739" spans="1:10" ht="15">
      <c r="A739" t="s">
        <v>224</v>
      </c>
      <c r="B739" t="s">
        <v>11</v>
      </c>
      <c r="C739">
        <v>52929</v>
      </c>
      <c r="D739" s="2">
        <v>117</v>
      </c>
      <c r="E739" s="1">
        <v>42695</v>
      </c>
      <c r="F739" t="s">
        <v>18</v>
      </c>
      <c r="G739" t="s">
        <v>13</v>
      </c>
      <c r="H739" t="str">
        <f>"LUNCHEON 11/21/16"</f>
        <v>LUNCHEON 11/21/16</v>
      </c>
      <c r="I739" t="str">
        <f>"TAQUERIA VELIZ"</f>
        <v>TAQUERIA VELIZ</v>
      </c>
      <c r="J739" s="2">
        <v>117</v>
      </c>
    </row>
    <row r="740" spans="1:10" ht="15">
      <c r="A740" t="s">
        <v>29</v>
      </c>
      <c r="B740" t="s">
        <v>11</v>
      </c>
      <c r="C740">
        <v>52940</v>
      </c>
      <c r="D740" s="2">
        <v>290.9</v>
      </c>
      <c r="E740" s="1">
        <v>42695</v>
      </c>
      <c r="F740" t="s">
        <v>18</v>
      </c>
      <c r="G740" t="s">
        <v>13</v>
      </c>
      <c r="H740" t="str">
        <f>"CLE201611217793"</f>
        <v>CLE201611217793</v>
      </c>
      <c r="I740" t="str">
        <f>"CLEAT ONLY DUES"</f>
        <v>CLEAT ONLY DUES</v>
      </c>
      <c r="J740" s="2">
        <v>13.85</v>
      </c>
    </row>
    <row r="741" spans="7:10" ht="15">
      <c r="G741" t="s">
        <v>13</v>
      </c>
      <c r="H741" t="str">
        <f>"PDD201611217793"</f>
        <v>PDD201611217793</v>
      </c>
      <c r="I741" t="str">
        <f>"POLICE OFFICERS ASSOC DUES"</f>
        <v>POLICE OFFICERS ASSOC DUES</v>
      </c>
      <c r="J741" s="2">
        <v>277.05</v>
      </c>
    </row>
    <row r="742" spans="1:10" ht="15">
      <c r="A742" t="s">
        <v>30</v>
      </c>
      <c r="B742" t="s">
        <v>11</v>
      </c>
      <c r="C742">
        <v>52941</v>
      </c>
      <c r="D742" s="2">
        <v>1200.46</v>
      </c>
      <c r="E742" s="1">
        <v>42695</v>
      </c>
      <c r="F742" t="s">
        <v>18</v>
      </c>
      <c r="G742" t="s">
        <v>13</v>
      </c>
      <c r="H742" t="str">
        <f>"CPS201611217793"</f>
        <v>CPS201611217793</v>
      </c>
      <c r="I742" t="str">
        <f>"G MENDOZA 00123012032010EM5054"</f>
        <v>G MENDOZA 00123012032010EM5054</v>
      </c>
      <c r="J742" s="2">
        <v>11.54</v>
      </c>
    </row>
    <row r="743" spans="7:10" ht="15">
      <c r="G743" t="s">
        <v>13</v>
      </c>
      <c r="H743" t="str">
        <f>"CS 201611217793"</f>
        <v>CS 201611217793</v>
      </c>
      <c r="I743" t="str">
        <f>"CAUSE#98EM504113 PEGGY RIVAS"</f>
        <v>CAUSE#98EM504113 PEGGY RIVAS</v>
      </c>
      <c r="J743" s="2">
        <v>294.46</v>
      </c>
    </row>
    <row r="744" spans="7:10" ht="15">
      <c r="G744" t="s">
        <v>13</v>
      </c>
      <c r="H744" t="str">
        <f>"CS1201611217793"</f>
        <v>CS1201611217793</v>
      </c>
      <c r="I744" t="str">
        <f>"CAUSE# 10008CVW DEBRA ESQUEDA"</f>
        <v>CAUSE# 10008CVW DEBRA ESQUEDA</v>
      </c>
      <c r="J744" s="2">
        <v>234.46</v>
      </c>
    </row>
    <row r="745" spans="7:10" ht="15">
      <c r="G745" t="s">
        <v>13</v>
      </c>
      <c r="H745" t="str">
        <f>"CSJ201611217793"</f>
        <v>CSJ201611217793</v>
      </c>
      <c r="I745" t="str">
        <f>"CAUSE# 0010185272 MARIANN GUTI"</f>
        <v>CAUSE# 0010185272 MARIANN GUTI</v>
      </c>
      <c r="J745" s="2">
        <v>325.38</v>
      </c>
    </row>
    <row r="746" spans="7:10" ht="15">
      <c r="G746" t="s">
        <v>13</v>
      </c>
      <c r="H746" t="str">
        <f>"CST201611217793"</f>
        <v>CST201611217793</v>
      </c>
      <c r="I746" t="str">
        <f>"CAUSE #0009418917 SONIA PEREZ"</f>
        <v>CAUSE #0009418917 SONIA PEREZ</v>
      </c>
      <c r="J746" s="2">
        <v>334.62</v>
      </c>
    </row>
    <row r="747" spans="1:10" ht="15">
      <c r="A747" t="s">
        <v>31</v>
      </c>
      <c r="B747" t="s">
        <v>11</v>
      </c>
      <c r="C747">
        <v>52942</v>
      </c>
      <c r="D747" s="2">
        <v>147.7</v>
      </c>
      <c r="E747" s="1">
        <v>42695</v>
      </c>
      <c r="F747" t="s">
        <v>18</v>
      </c>
      <c r="G747" t="s">
        <v>13</v>
      </c>
      <c r="H747" t="str">
        <f>"BNK201611217793"</f>
        <v>BNK201611217793</v>
      </c>
      <c r="I747" t="str">
        <f>"CHAPTER 13  CASE NO. 1152669"</f>
        <v>CHAPTER 13  CASE NO. 1152669</v>
      </c>
      <c r="J747" s="2">
        <v>147.7</v>
      </c>
    </row>
    <row r="748" spans="1:10" ht="15">
      <c r="A748" t="s">
        <v>32</v>
      </c>
      <c r="B748" t="s">
        <v>11</v>
      </c>
      <c r="C748">
        <v>52943</v>
      </c>
      <c r="D748" s="2">
        <v>99.1</v>
      </c>
      <c r="E748" s="1">
        <v>42695</v>
      </c>
      <c r="F748" t="s">
        <v>18</v>
      </c>
      <c r="G748" t="s">
        <v>13</v>
      </c>
      <c r="H748" t="str">
        <f>"MCO201611217793"</f>
        <v>MCO201611217793</v>
      </c>
      <c r="I748" t="s">
        <v>313</v>
      </c>
      <c r="J748" s="2">
        <v>99.1</v>
      </c>
    </row>
    <row r="749" spans="1:10" ht="15">
      <c r="A749" t="s">
        <v>33</v>
      </c>
      <c r="B749" t="s">
        <v>11</v>
      </c>
      <c r="C749">
        <v>52944</v>
      </c>
      <c r="D749" s="2">
        <v>649</v>
      </c>
      <c r="E749" s="1">
        <v>42695</v>
      </c>
      <c r="F749" t="s">
        <v>18</v>
      </c>
      <c r="G749" t="s">
        <v>13</v>
      </c>
      <c r="H749" t="str">
        <f>"457201611217793"</f>
        <v>457201611217793</v>
      </c>
      <c r="I749" t="str">
        <f>"CASE # 180-60751 457B DEDUCT"</f>
        <v>CASE # 180-60751 457B DEDUCT</v>
      </c>
      <c r="J749" s="2">
        <v>649</v>
      </c>
    </row>
    <row r="750" spans="1:10" ht="15">
      <c r="A750" t="s">
        <v>130</v>
      </c>
      <c r="B750" t="s">
        <v>11</v>
      </c>
      <c r="C750">
        <v>52945</v>
      </c>
      <c r="D750" s="2">
        <v>926.41</v>
      </c>
      <c r="E750" s="1">
        <v>42696</v>
      </c>
      <c r="F750" t="s">
        <v>18</v>
      </c>
      <c r="G750" t="s">
        <v>13</v>
      </c>
      <c r="H750" t="str">
        <f>"201611227794"</f>
        <v>201611227794</v>
      </c>
      <c r="I750" t="str">
        <f>"FLORESVILLE POST OFFICE"</f>
        <v>FLORESVILLE POST OFFICE</v>
      </c>
      <c r="J750" s="2">
        <v>926.41</v>
      </c>
    </row>
    <row r="751" spans="1:10" ht="15">
      <c r="A751" t="s">
        <v>225</v>
      </c>
      <c r="B751" t="s">
        <v>11</v>
      </c>
      <c r="C751">
        <v>52946</v>
      </c>
      <c r="D751" s="2">
        <v>144.5</v>
      </c>
      <c r="E751" s="1">
        <v>42696</v>
      </c>
      <c r="F751" t="s">
        <v>18</v>
      </c>
      <c r="G751" t="s">
        <v>13</v>
      </c>
      <c r="H751" t="str">
        <f>"FINAL PAYROLL"</f>
        <v>FINAL PAYROLL</v>
      </c>
      <c r="I751" t="str">
        <f>"FINAL PAYROLL"</f>
        <v>FINAL PAYROLL</v>
      </c>
      <c r="J751" s="2">
        <v>144.5</v>
      </c>
    </row>
    <row r="752" spans="1:10" ht="15">
      <c r="A752" t="s">
        <v>226</v>
      </c>
      <c r="B752" t="s">
        <v>11</v>
      </c>
      <c r="C752">
        <v>52948</v>
      </c>
      <c r="D752" s="2">
        <v>181.24</v>
      </c>
      <c r="E752" s="1">
        <v>42702</v>
      </c>
      <c r="F752" t="s">
        <v>18</v>
      </c>
      <c r="G752" t="s">
        <v>13</v>
      </c>
      <c r="H752" t="str">
        <f>"TRAINING"</f>
        <v>TRAINING</v>
      </c>
      <c r="I752" t="str">
        <f>"HENRIETTA TURNER"</f>
        <v>HENRIETTA TURNER</v>
      </c>
      <c r="J752" s="2">
        <v>181.24</v>
      </c>
    </row>
    <row r="753" spans="1:10" ht="15">
      <c r="A753" t="s">
        <v>34</v>
      </c>
      <c r="B753" t="s">
        <v>11</v>
      </c>
      <c r="C753">
        <v>52949</v>
      </c>
      <c r="D753" s="2">
        <v>180</v>
      </c>
      <c r="E753" s="1">
        <v>42705</v>
      </c>
      <c r="F753" t="s">
        <v>18</v>
      </c>
      <c r="G753" t="s">
        <v>13</v>
      </c>
      <c r="H753" t="str">
        <f>"155851"</f>
        <v>155851</v>
      </c>
      <c r="I753" t="str">
        <f aca="true" t="shared" si="17" ref="I753:I770">"GERALD LUBIANSKI ENTERPRISES"</f>
        <v>GERALD LUBIANSKI ENTERPRISES</v>
      </c>
      <c r="J753" s="2">
        <v>10</v>
      </c>
    </row>
    <row r="754" spans="7:10" ht="15">
      <c r="G754" t="s">
        <v>13</v>
      </c>
      <c r="H754" t="str">
        <f>"155858"</f>
        <v>155858</v>
      </c>
      <c r="I754" t="str">
        <f t="shared" si="17"/>
        <v>GERALD LUBIANSKI ENTERPRISES</v>
      </c>
      <c r="J754" s="2">
        <v>10</v>
      </c>
    </row>
    <row r="755" spans="7:10" ht="15">
      <c r="G755" t="s">
        <v>13</v>
      </c>
      <c r="H755" t="str">
        <f>"155967"</f>
        <v>155967</v>
      </c>
      <c r="I755" t="str">
        <f t="shared" si="17"/>
        <v>GERALD LUBIANSKI ENTERPRISES</v>
      </c>
      <c r="J755" s="2">
        <v>10</v>
      </c>
    </row>
    <row r="756" spans="7:10" ht="15">
      <c r="G756" t="s">
        <v>13</v>
      </c>
      <c r="H756" t="str">
        <f>"155974"</f>
        <v>155974</v>
      </c>
      <c r="I756" t="str">
        <f t="shared" si="17"/>
        <v>GERALD LUBIANSKI ENTERPRISES</v>
      </c>
      <c r="J756" s="2">
        <v>10</v>
      </c>
    </row>
    <row r="757" spans="7:10" ht="15">
      <c r="G757" t="s">
        <v>13</v>
      </c>
      <c r="H757" t="str">
        <f>"155984"</f>
        <v>155984</v>
      </c>
      <c r="I757" t="str">
        <f t="shared" si="17"/>
        <v>GERALD LUBIANSKI ENTERPRISES</v>
      </c>
      <c r="J757" s="2">
        <v>10</v>
      </c>
    </row>
    <row r="758" spans="7:10" ht="15">
      <c r="G758" t="s">
        <v>13</v>
      </c>
      <c r="H758" t="str">
        <f>"156000"</f>
        <v>156000</v>
      </c>
      <c r="I758" t="str">
        <f t="shared" si="17"/>
        <v>GERALD LUBIANSKI ENTERPRISES</v>
      </c>
      <c r="J758" s="2">
        <v>10</v>
      </c>
    </row>
    <row r="759" spans="7:10" ht="15">
      <c r="G759" t="s">
        <v>13</v>
      </c>
      <c r="H759" t="str">
        <f>"156072"</f>
        <v>156072</v>
      </c>
      <c r="I759" t="str">
        <f t="shared" si="17"/>
        <v>GERALD LUBIANSKI ENTERPRISES</v>
      </c>
      <c r="J759" s="2">
        <v>10</v>
      </c>
    </row>
    <row r="760" spans="7:10" ht="15">
      <c r="G760" t="s">
        <v>13</v>
      </c>
      <c r="H760" t="str">
        <f>"156088"</f>
        <v>156088</v>
      </c>
      <c r="I760" t="str">
        <f t="shared" si="17"/>
        <v>GERALD LUBIANSKI ENTERPRISES</v>
      </c>
      <c r="J760" s="2">
        <v>10</v>
      </c>
    </row>
    <row r="761" spans="7:10" ht="15">
      <c r="G761" t="s">
        <v>13</v>
      </c>
      <c r="H761" t="str">
        <f>"156099"</f>
        <v>156099</v>
      </c>
      <c r="I761" t="str">
        <f t="shared" si="17"/>
        <v>GERALD LUBIANSKI ENTERPRISES</v>
      </c>
      <c r="J761" s="2">
        <v>10</v>
      </c>
    </row>
    <row r="762" spans="7:10" ht="15">
      <c r="G762" t="s">
        <v>13</v>
      </c>
      <c r="H762" t="str">
        <f>"156117"</f>
        <v>156117</v>
      </c>
      <c r="I762" t="str">
        <f t="shared" si="17"/>
        <v>GERALD LUBIANSKI ENTERPRISES</v>
      </c>
      <c r="J762" s="2">
        <v>10</v>
      </c>
    </row>
    <row r="763" spans="7:10" ht="15">
      <c r="G763" t="s">
        <v>13</v>
      </c>
      <c r="H763" t="str">
        <f>"156135"</f>
        <v>156135</v>
      </c>
      <c r="I763" t="str">
        <f t="shared" si="17"/>
        <v>GERALD LUBIANSKI ENTERPRISES</v>
      </c>
      <c r="J763" s="2">
        <v>10</v>
      </c>
    </row>
    <row r="764" spans="7:10" ht="15">
      <c r="G764" t="s">
        <v>13</v>
      </c>
      <c r="H764" t="str">
        <f>"156172"</f>
        <v>156172</v>
      </c>
      <c r="I764" t="str">
        <f t="shared" si="17"/>
        <v>GERALD LUBIANSKI ENTERPRISES</v>
      </c>
      <c r="J764" s="2">
        <v>10</v>
      </c>
    </row>
    <row r="765" spans="7:10" ht="15">
      <c r="G765" t="s">
        <v>13</v>
      </c>
      <c r="H765" t="str">
        <f>"156176"</f>
        <v>156176</v>
      </c>
      <c r="I765" t="str">
        <f t="shared" si="17"/>
        <v>GERALD LUBIANSKI ENTERPRISES</v>
      </c>
      <c r="J765" s="2">
        <v>10</v>
      </c>
    </row>
    <row r="766" spans="7:10" ht="15">
      <c r="G766" t="s">
        <v>13</v>
      </c>
      <c r="H766" t="str">
        <f>"156218"</f>
        <v>156218</v>
      </c>
      <c r="I766" t="str">
        <f t="shared" si="17"/>
        <v>GERALD LUBIANSKI ENTERPRISES</v>
      </c>
      <c r="J766" s="2">
        <v>10</v>
      </c>
    </row>
    <row r="767" spans="7:10" ht="15">
      <c r="G767" t="s">
        <v>13</v>
      </c>
      <c r="H767" t="str">
        <f>"156250"</f>
        <v>156250</v>
      </c>
      <c r="I767" t="str">
        <f t="shared" si="17"/>
        <v>GERALD LUBIANSKI ENTERPRISES</v>
      </c>
      <c r="J767" s="2">
        <v>10</v>
      </c>
    </row>
    <row r="768" spans="7:10" ht="15">
      <c r="G768" t="s">
        <v>13</v>
      </c>
      <c r="H768" t="str">
        <f>"156280"</f>
        <v>156280</v>
      </c>
      <c r="I768" t="str">
        <f t="shared" si="17"/>
        <v>GERALD LUBIANSKI ENTERPRISES</v>
      </c>
      <c r="J768" s="2">
        <v>10</v>
      </c>
    </row>
    <row r="769" spans="7:10" ht="15">
      <c r="G769" t="s">
        <v>13</v>
      </c>
      <c r="H769" t="str">
        <f>"156292"</f>
        <v>156292</v>
      </c>
      <c r="I769" t="str">
        <f t="shared" si="17"/>
        <v>GERALD LUBIANSKI ENTERPRISES</v>
      </c>
      <c r="J769" s="2">
        <v>10</v>
      </c>
    </row>
    <row r="770" spans="7:10" ht="15">
      <c r="G770" t="s">
        <v>13</v>
      </c>
      <c r="H770" t="str">
        <f>"156315"</f>
        <v>156315</v>
      </c>
      <c r="I770" t="str">
        <f t="shared" si="17"/>
        <v>GERALD LUBIANSKI ENTERPRISES</v>
      </c>
      <c r="J770" s="2">
        <v>10</v>
      </c>
    </row>
    <row r="771" spans="1:10" ht="15">
      <c r="A771" t="s">
        <v>107</v>
      </c>
      <c r="B771" t="s">
        <v>11</v>
      </c>
      <c r="C771">
        <v>52952</v>
      </c>
      <c r="D771" s="2">
        <v>156.77</v>
      </c>
      <c r="E771" s="1">
        <v>42705</v>
      </c>
      <c r="F771" t="s">
        <v>18</v>
      </c>
      <c r="G771" t="s">
        <v>13</v>
      </c>
      <c r="H771" t="str">
        <f>"201611297803"</f>
        <v>201611297803</v>
      </c>
      <c r="I771" t="str">
        <f>"CENTERPOINT ENERGY ENTEX"</f>
        <v>CENTERPOINT ENERGY ENTEX</v>
      </c>
      <c r="J771" s="2">
        <v>36.99</v>
      </c>
    </row>
    <row r="772" spans="7:10" ht="15">
      <c r="G772" t="s">
        <v>13</v>
      </c>
      <c r="H772" t="str">
        <f>"201611297804"</f>
        <v>201611297804</v>
      </c>
      <c r="I772" t="str">
        <f>"CENTERPOINT ENERGY ENTEX"</f>
        <v>CENTERPOINT ENERGY ENTEX</v>
      </c>
      <c r="J772" s="2">
        <v>40.71</v>
      </c>
    </row>
    <row r="773" spans="7:10" ht="15">
      <c r="G773" t="s">
        <v>13</v>
      </c>
      <c r="H773" t="str">
        <f>"201611297805"</f>
        <v>201611297805</v>
      </c>
      <c r="I773" t="str">
        <f>"CENTERPOINT ENERGY ENTEX"</f>
        <v>CENTERPOINT ENERGY ENTEX</v>
      </c>
      <c r="J773" s="2">
        <v>42.08</v>
      </c>
    </row>
    <row r="774" spans="7:10" ht="15">
      <c r="G774" t="s">
        <v>13</v>
      </c>
      <c r="H774" t="str">
        <f>"201611297806"</f>
        <v>201611297806</v>
      </c>
      <c r="I774" t="str">
        <f>"CENTERPOINT ENERGY ENTEX"</f>
        <v>CENTERPOINT ENERGY ENTEX</v>
      </c>
      <c r="J774" s="2">
        <v>36.99</v>
      </c>
    </row>
    <row r="775" spans="1:10" ht="15">
      <c r="A775" t="s">
        <v>35</v>
      </c>
      <c r="B775" t="s">
        <v>11</v>
      </c>
      <c r="C775">
        <v>52953</v>
      </c>
      <c r="D775" s="2">
        <v>38471.27</v>
      </c>
      <c r="E775" s="1">
        <v>42705</v>
      </c>
      <c r="F775" t="s">
        <v>18</v>
      </c>
      <c r="G775" t="s">
        <v>13</v>
      </c>
      <c r="H775" t="str">
        <f>"11617-028"</f>
        <v>11617-028</v>
      </c>
      <c r="I775" t="str">
        <f>"F.E.L.P.S."</f>
        <v>F.E.L.P.S.</v>
      </c>
      <c r="J775" s="2">
        <v>80.12</v>
      </c>
    </row>
    <row r="776" spans="7:10" ht="15">
      <c r="G776" t="s">
        <v>13</v>
      </c>
      <c r="H776" t="str">
        <f>"201611297813"</f>
        <v>201611297813</v>
      </c>
      <c r="I776" t="str">
        <f>"F.E.L.P.S."</f>
        <v>F.E.L.P.S.</v>
      </c>
      <c r="J776" s="2">
        <v>26272.27</v>
      </c>
    </row>
    <row r="777" spans="7:10" ht="15">
      <c r="G777" t="s">
        <v>13</v>
      </c>
      <c r="H777" t="str">
        <f>"201611297821"</f>
        <v>201611297821</v>
      </c>
      <c r="I777" t="str">
        <f>"F.E.L.P.S."</f>
        <v>F.E.L.P.S.</v>
      </c>
      <c r="J777" s="2">
        <v>12118.88</v>
      </c>
    </row>
    <row r="778" spans="1:10" ht="15">
      <c r="A778" t="s">
        <v>227</v>
      </c>
      <c r="B778" t="s">
        <v>11</v>
      </c>
      <c r="C778">
        <v>52955</v>
      </c>
      <c r="D778" s="2">
        <v>368.31</v>
      </c>
      <c r="E778" s="1">
        <v>42705</v>
      </c>
      <c r="F778" t="s">
        <v>18</v>
      </c>
      <c r="G778" t="s">
        <v>13</v>
      </c>
      <c r="H778" t="str">
        <f>"9401550297"</f>
        <v>9401550297</v>
      </c>
      <c r="I778" t="str">
        <f>"ERGON ASPHALT AND EMULSIONS  I"</f>
        <v>ERGON ASPHALT AND EMULSIONS  I</v>
      </c>
      <c r="J778" s="2">
        <v>368.31</v>
      </c>
    </row>
    <row r="779" spans="1:10" ht="15">
      <c r="A779" t="s">
        <v>228</v>
      </c>
      <c r="B779" t="s">
        <v>11</v>
      </c>
      <c r="C779">
        <v>52956</v>
      </c>
      <c r="D779" s="2">
        <v>6968.82</v>
      </c>
      <c r="E779" s="1">
        <v>42705</v>
      </c>
      <c r="F779" t="s">
        <v>18</v>
      </c>
      <c r="G779" t="s">
        <v>13</v>
      </c>
      <c r="H779" t="str">
        <f>"2606"</f>
        <v>2606</v>
      </c>
      <c r="I779" t="str">
        <f>"ROBERT L SRALLA DBA/SRALLA ELE"</f>
        <v>ROBERT L SRALLA DBA/SRALLA ELE</v>
      </c>
      <c r="J779" s="2">
        <v>107</v>
      </c>
    </row>
    <row r="780" spans="7:10" ht="15">
      <c r="G780" t="s">
        <v>13</v>
      </c>
      <c r="H780" t="str">
        <f>"2612"</f>
        <v>2612</v>
      </c>
      <c r="I780" t="str">
        <f>"ROBERT L SRALLA DBA/SRALLA ELE"</f>
        <v>ROBERT L SRALLA DBA/SRALLA ELE</v>
      </c>
      <c r="J780" s="2">
        <v>75</v>
      </c>
    </row>
    <row r="781" spans="7:10" ht="15">
      <c r="G781" t="s">
        <v>13</v>
      </c>
      <c r="H781" t="str">
        <f>"2642"</f>
        <v>2642</v>
      </c>
      <c r="I781" t="str">
        <f>"ROBERT L SRALLA DBA/SRALLA ELE"</f>
        <v>ROBERT L SRALLA DBA/SRALLA ELE</v>
      </c>
      <c r="J781" s="2">
        <v>65</v>
      </c>
    </row>
    <row r="782" spans="7:10" ht="15">
      <c r="G782" t="s">
        <v>13</v>
      </c>
      <c r="H782" t="str">
        <f>"504"</f>
        <v>504</v>
      </c>
      <c r="I782" t="str">
        <f>"ROBERT L SRALLA DBA/SRALLA ELE"</f>
        <v>ROBERT L SRALLA DBA/SRALLA ELE</v>
      </c>
      <c r="J782" s="2">
        <v>2467.97</v>
      </c>
    </row>
    <row r="783" spans="7:10" ht="15">
      <c r="G783" t="s">
        <v>13</v>
      </c>
      <c r="H783" t="str">
        <f>"505"</f>
        <v>505</v>
      </c>
      <c r="I783" t="str">
        <f>"ROBERT L SRALLA DBA/SRALLA ELE"</f>
        <v>ROBERT L SRALLA DBA/SRALLA ELE</v>
      </c>
      <c r="J783" s="2">
        <v>4253.85</v>
      </c>
    </row>
    <row r="784" spans="1:10" ht="15">
      <c r="A784" t="s">
        <v>137</v>
      </c>
      <c r="B784" t="s">
        <v>11</v>
      </c>
      <c r="C784">
        <v>52957</v>
      </c>
      <c r="D784" s="2">
        <v>420.14</v>
      </c>
      <c r="E784" s="1">
        <v>42705</v>
      </c>
      <c r="F784" t="s">
        <v>18</v>
      </c>
      <c r="G784" t="s">
        <v>13</v>
      </c>
      <c r="H784" t="str">
        <f>"201611297820"</f>
        <v>201611297820</v>
      </c>
      <c r="I784" t="str">
        <f>"WAL-MART BUSINESS/SYNCB"</f>
        <v>WAL-MART BUSINESS/SYNCB</v>
      </c>
      <c r="J784" s="2">
        <v>420.14</v>
      </c>
    </row>
    <row r="785" spans="1:10" ht="15">
      <c r="A785" t="s">
        <v>37</v>
      </c>
      <c r="B785" t="s">
        <v>11</v>
      </c>
      <c r="C785">
        <v>52958</v>
      </c>
      <c r="D785" s="2">
        <v>865.88</v>
      </c>
      <c r="E785" s="1">
        <v>42705</v>
      </c>
      <c r="F785" t="s">
        <v>18</v>
      </c>
      <c r="G785" t="s">
        <v>13</v>
      </c>
      <c r="H785" t="str">
        <f>"476209"</f>
        <v>476209</v>
      </c>
      <c r="I785" t="str">
        <f aca="true" t="shared" si="18" ref="I785:I792">"DEASON ANIMAL HOSPITAL"</f>
        <v>DEASON ANIMAL HOSPITAL</v>
      </c>
      <c r="J785" s="2">
        <v>83.97</v>
      </c>
    </row>
    <row r="786" spans="7:10" ht="15">
      <c r="G786" t="s">
        <v>13</v>
      </c>
      <c r="H786" t="str">
        <f>"476964"</f>
        <v>476964</v>
      </c>
      <c r="I786" t="str">
        <f t="shared" si="18"/>
        <v>DEASON ANIMAL HOSPITAL</v>
      </c>
      <c r="J786" s="2">
        <v>30</v>
      </c>
    </row>
    <row r="787" spans="7:10" ht="15">
      <c r="G787" t="s">
        <v>13</v>
      </c>
      <c r="H787" t="str">
        <f>"477287"</f>
        <v>477287</v>
      </c>
      <c r="I787" t="str">
        <f t="shared" si="18"/>
        <v>DEASON ANIMAL HOSPITAL</v>
      </c>
      <c r="J787" s="2">
        <v>45</v>
      </c>
    </row>
    <row r="788" spans="7:10" ht="15">
      <c r="G788" t="s">
        <v>13</v>
      </c>
      <c r="H788" t="str">
        <f>"477399"</f>
        <v>477399</v>
      </c>
      <c r="I788" t="str">
        <f t="shared" si="18"/>
        <v>DEASON ANIMAL HOSPITAL</v>
      </c>
      <c r="J788" s="2">
        <v>532.94</v>
      </c>
    </row>
    <row r="789" spans="7:10" ht="15">
      <c r="G789" t="s">
        <v>13</v>
      </c>
      <c r="H789" t="str">
        <f>"477646"</f>
        <v>477646</v>
      </c>
      <c r="I789" t="str">
        <f t="shared" si="18"/>
        <v>DEASON ANIMAL HOSPITAL</v>
      </c>
      <c r="J789" s="2">
        <v>30</v>
      </c>
    </row>
    <row r="790" spans="7:10" ht="15">
      <c r="G790" t="s">
        <v>13</v>
      </c>
      <c r="H790" t="str">
        <f>"478167"</f>
        <v>478167</v>
      </c>
      <c r="I790" t="str">
        <f t="shared" si="18"/>
        <v>DEASON ANIMAL HOSPITAL</v>
      </c>
      <c r="J790" s="2">
        <v>30</v>
      </c>
    </row>
    <row r="791" spans="7:10" ht="15">
      <c r="G791" t="s">
        <v>13</v>
      </c>
      <c r="H791" t="str">
        <f>"478217"</f>
        <v>478217</v>
      </c>
      <c r="I791" t="str">
        <f t="shared" si="18"/>
        <v>DEASON ANIMAL HOSPITAL</v>
      </c>
      <c r="J791" s="2">
        <v>60</v>
      </c>
    </row>
    <row r="792" spans="7:10" ht="15">
      <c r="G792" t="s">
        <v>13</v>
      </c>
      <c r="H792" t="str">
        <f>"478555"</f>
        <v>478555</v>
      </c>
      <c r="I792" t="str">
        <f t="shared" si="18"/>
        <v>DEASON ANIMAL HOSPITAL</v>
      </c>
      <c r="J792" s="2">
        <v>53.97</v>
      </c>
    </row>
    <row r="793" spans="1:10" ht="15">
      <c r="A793" t="s">
        <v>109</v>
      </c>
      <c r="B793" t="s">
        <v>11</v>
      </c>
      <c r="C793">
        <v>52960</v>
      </c>
      <c r="D793" s="2">
        <v>1327.64</v>
      </c>
      <c r="E793" s="1">
        <v>42705</v>
      </c>
      <c r="F793" t="s">
        <v>18</v>
      </c>
      <c r="G793" t="s">
        <v>13</v>
      </c>
      <c r="H793" t="str">
        <f>"10/31/2016"</f>
        <v>10/31/2016</v>
      </c>
      <c r="I793" t="str">
        <f>"WILSON COUNTY NEWS"</f>
        <v>WILSON COUNTY NEWS</v>
      </c>
      <c r="J793" s="2">
        <v>1327.64</v>
      </c>
    </row>
    <row r="794" spans="1:10" ht="15">
      <c r="A794" t="s">
        <v>38</v>
      </c>
      <c r="B794" t="s">
        <v>11</v>
      </c>
      <c r="C794">
        <v>52961</v>
      </c>
      <c r="D794" s="2">
        <v>2526.22</v>
      </c>
      <c r="E794" s="1">
        <v>42705</v>
      </c>
      <c r="F794" t="s">
        <v>18</v>
      </c>
      <c r="G794" t="s">
        <v>13</v>
      </c>
      <c r="H794" t="str">
        <f>"0828294"</f>
        <v>0828294</v>
      </c>
      <c r="I794" t="str">
        <f>"FERGUSON WATERWORKS - MUNICIPA"</f>
        <v>FERGUSON WATERWORKS - MUNICIPA</v>
      </c>
      <c r="J794" s="2">
        <v>2378.82</v>
      </c>
    </row>
    <row r="795" spans="7:10" ht="15">
      <c r="G795" t="s">
        <v>13</v>
      </c>
      <c r="H795" t="str">
        <f>"0833986"</f>
        <v>0833986</v>
      </c>
      <c r="I795" t="str">
        <f>"FERGUSON WATERWORKS - MUNICIPA"</f>
        <v>FERGUSON WATERWORKS - MUNICIPA</v>
      </c>
      <c r="J795" s="2">
        <v>147.4</v>
      </c>
    </row>
    <row r="796" spans="1:10" ht="15">
      <c r="A796" t="s">
        <v>39</v>
      </c>
      <c r="B796" t="s">
        <v>11</v>
      </c>
      <c r="C796">
        <v>52962</v>
      </c>
      <c r="D796" s="2">
        <v>28</v>
      </c>
      <c r="E796" s="1">
        <v>42705</v>
      </c>
      <c r="F796" t="s">
        <v>18</v>
      </c>
      <c r="G796" t="s">
        <v>13</v>
      </c>
      <c r="H796" t="str">
        <f>"241515"</f>
        <v>241515</v>
      </c>
      <c r="I796" t="str">
        <f>"LUBE WORKS"</f>
        <v>LUBE WORKS</v>
      </c>
      <c r="J796" s="2">
        <v>7</v>
      </c>
    </row>
    <row r="797" spans="7:10" ht="15">
      <c r="G797" t="s">
        <v>13</v>
      </c>
      <c r="H797" t="str">
        <f>"242224"</f>
        <v>242224</v>
      </c>
      <c r="I797" t="str">
        <f>"LUBE WORKS"</f>
        <v>LUBE WORKS</v>
      </c>
      <c r="J797" s="2">
        <v>7</v>
      </c>
    </row>
    <row r="798" spans="7:10" ht="15">
      <c r="G798" t="s">
        <v>13</v>
      </c>
      <c r="H798" t="str">
        <f>"242225"</f>
        <v>242225</v>
      </c>
      <c r="I798" t="str">
        <f>"LUBE WORKS"</f>
        <v>LUBE WORKS</v>
      </c>
      <c r="J798" s="2">
        <v>7</v>
      </c>
    </row>
    <row r="799" spans="7:10" ht="15">
      <c r="G799" t="s">
        <v>13</v>
      </c>
      <c r="H799" t="str">
        <f>"242237"</f>
        <v>242237</v>
      </c>
      <c r="I799" t="str">
        <f>"LUBE WORKS"</f>
        <v>LUBE WORKS</v>
      </c>
      <c r="J799" s="2">
        <v>7</v>
      </c>
    </row>
    <row r="800" spans="1:10" ht="15">
      <c r="A800" t="s">
        <v>40</v>
      </c>
      <c r="B800" t="s">
        <v>11</v>
      </c>
      <c r="C800">
        <v>52963</v>
      </c>
      <c r="D800" s="2">
        <v>118.3</v>
      </c>
      <c r="E800" s="1">
        <v>42705</v>
      </c>
      <c r="F800" t="s">
        <v>18</v>
      </c>
      <c r="G800" t="s">
        <v>13</v>
      </c>
      <c r="H800" t="str">
        <f>"1961450"</f>
        <v>1961450</v>
      </c>
      <c r="I800" t="str">
        <f>"DECOTY COFFEE COMPANY"</f>
        <v>DECOTY COFFEE COMPANY</v>
      </c>
      <c r="J800" s="2">
        <v>118.3</v>
      </c>
    </row>
    <row r="801" spans="1:10" ht="15">
      <c r="A801" t="s">
        <v>140</v>
      </c>
      <c r="B801" t="s">
        <v>11</v>
      </c>
      <c r="C801">
        <v>52964</v>
      </c>
      <c r="D801" s="2">
        <v>1262.64</v>
      </c>
      <c r="E801" s="1">
        <v>42705</v>
      </c>
      <c r="F801" t="s">
        <v>18</v>
      </c>
      <c r="G801" t="s">
        <v>13</v>
      </c>
      <c r="H801" t="str">
        <f>"201611297807"</f>
        <v>201611297807</v>
      </c>
      <c r="I801" t="str">
        <f>"PITNEY BOWES PURCHASE POWER"</f>
        <v>PITNEY BOWES PURCHASE POWER</v>
      </c>
      <c r="J801" s="2">
        <v>1262.64</v>
      </c>
    </row>
    <row r="802" spans="1:10" ht="15">
      <c r="A802" t="s">
        <v>229</v>
      </c>
      <c r="B802" t="s">
        <v>11</v>
      </c>
      <c r="C802">
        <v>52965</v>
      </c>
      <c r="D802" s="2">
        <v>176.04</v>
      </c>
      <c r="E802" s="1">
        <v>42705</v>
      </c>
      <c r="F802" t="s">
        <v>18</v>
      </c>
      <c r="G802" t="s">
        <v>13</v>
      </c>
      <c r="H802" t="str">
        <f>"C091882"</f>
        <v>C091882</v>
      </c>
      <c r="I802" t="str">
        <f>"MATERA PAPER CO  LTD."</f>
        <v>MATERA PAPER CO  LTD.</v>
      </c>
      <c r="J802" s="2">
        <v>176.04</v>
      </c>
    </row>
    <row r="803" spans="1:10" ht="15">
      <c r="A803" t="s">
        <v>187</v>
      </c>
      <c r="B803" t="s">
        <v>11</v>
      </c>
      <c r="C803">
        <v>52966</v>
      </c>
      <c r="D803" s="2">
        <v>675</v>
      </c>
      <c r="E803" s="1">
        <v>42705</v>
      </c>
      <c r="F803" t="s">
        <v>18</v>
      </c>
      <c r="G803" t="s">
        <v>13</v>
      </c>
      <c r="H803" t="str">
        <f>"201611297799"</f>
        <v>201611297799</v>
      </c>
      <c r="I803" t="s">
        <v>314</v>
      </c>
      <c r="J803" s="2">
        <v>675</v>
      </c>
    </row>
    <row r="804" spans="1:10" ht="15">
      <c r="A804" t="s">
        <v>43</v>
      </c>
      <c r="B804" t="s">
        <v>11</v>
      </c>
      <c r="C804">
        <v>52967</v>
      </c>
      <c r="D804" s="2">
        <v>99.11</v>
      </c>
      <c r="E804" s="1">
        <v>42705</v>
      </c>
      <c r="F804" t="s">
        <v>18</v>
      </c>
      <c r="G804" t="s">
        <v>13</v>
      </c>
      <c r="H804" t="str">
        <f>"102897"</f>
        <v>102897</v>
      </c>
      <c r="I804" t="str">
        <f>"DITTMAR LUMBER CO."</f>
        <v>DITTMAR LUMBER CO.</v>
      </c>
      <c r="J804" s="2">
        <v>15.93</v>
      </c>
    </row>
    <row r="805" spans="7:10" ht="15">
      <c r="G805" t="s">
        <v>13</v>
      </c>
      <c r="H805" t="str">
        <f>"103796"</f>
        <v>103796</v>
      </c>
      <c r="I805" t="str">
        <f>"DITTMAR LUMBER CO."</f>
        <v>DITTMAR LUMBER CO.</v>
      </c>
      <c r="J805" s="2">
        <v>37.45</v>
      </c>
    </row>
    <row r="806" spans="7:10" ht="15">
      <c r="G806" t="s">
        <v>13</v>
      </c>
      <c r="H806" t="str">
        <f>"30110945"</f>
        <v>30110945</v>
      </c>
      <c r="I806" t="str">
        <f>"DITTMAR LUMBER CO."</f>
        <v>DITTMAR LUMBER CO.</v>
      </c>
      <c r="J806" s="2">
        <v>15.16</v>
      </c>
    </row>
    <row r="807" spans="7:10" ht="15">
      <c r="G807" t="s">
        <v>13</v>
      </c>
      <c r="H807" t="str">
        <f>"30111052"</f>
        <v>30111052</v>
      </c>
      <c r="I807" t="str">
        <f>"DITTMAR LUMBER CO."</f>
        <v>DITTMAR LUMBER CO.</v>
      </c>
      <c r="J807" s="2">
        <v>30.57</v>
      </c>
    </row>
    <row r="808" spans="1:10" ht="15">
      <c r="A808" t="s">
        <v>141</v>
      </c>
      <c r="B808" t="s">
        <v>11</v>
      </c>
      <c r="C808">
        <v>52968</v>
      </c>
      <c r="D808" s="2">
        <v>1403.37</v>
      </c>
      <c r="E808" s="1">
        <v>42705</v>
      </c>
      <c r="F808" t="s">
        <v>18</v>
      </c>
      <c r="G808" t="s">
        <v>13</v>
      </c>
      <c r="H808" t="str">
        <f>"04434702"</f>
        <v>04434702</v>
      </c>
      <c r="I808" t="str">
        <f>"POOLSURE"</f>
        <v>POOLSURE</v>
      </c>
      <c r="J808" s="2">
        <v>1403.37</v>
      </c>
    </row>
    <row r="809" spans="1:10" ht="15">
      <c r="A809" t="s">
        <v>44</v>
      </c>
      <c r="B809" t="s">
        <v>11</v>
      </c>
      <c r="C809">
        <v>52969</v>
      </c>
      <c r="D809" s="2">
        <v>99.09</v>
      </c>
      <c r="E809" s="1">
        <v>42705</v>
      </c>
      <c r="F809" t="s">
        <v>18</v>
      </c>
      <c r="G809" t="s">
        <v>13</v>
      </c>
      <c r="H809" t="str">
        <f>"095461"</f>
        <v>095461</v>
      </c>
      <c r="I809" t="str">
        <f>"USA BLUEBOOK"</f>
        <v>USA BLUEBOOK</v>
      </c>
      <c r="J809" s="2">
        <v>99.09</v>
      </c>
    </row>
    <row r="810" spans="1:10" ht="15">
      <c r="A810" t="s">
        <v>45</v>
      </c>
      <c r="B810" t="s">
        <v>11</v>
      </c>
      <c r="C810">
        <v>52970</v>
      </c>
      <c r="D810" s="2">
        <v>1045.54</v>
      </c>
      <c r="E810" s="1">
        <v>42705</v>
      </c>
      <c r="F810" t="s">
        <v>18</v>
      </c>
      <c r="G810" t="s">
        <v>13</v>
      </c>
      <c r="H810" t="str">
        <f>"0127764-IN"</f>
        <v>0127764-IN</v>
      </c>
      <c r="I810" t="str">
        <f>"NARDIS PUBLIC SAFETY"</f>
        <v>NARDIS PUBLIC SAFETY</v>
      </c>
      <c r="J810" s="2">
        <v>159.98</v>
      </c>
    </row>
    <row r="811" spans="7:10" ht="15">
      <c r="G811" t="s">
        <v>13</v>
      </c>
      <c r="H811" t="str">
        <f>"0127909-IN"</f>
        <v>0127909-IN</v>
      </c>
      <c r="I811" t="str">
        <f>"NARDIS PUBLIC SAFETY"</f>
        <v>NARDIS PUBLIC SAFETY</v>
      </c>
      <c r="J811" s="2">
        <v>565.76</v>
      </c>
    </row>
    <row r="812" spans="7:10" ht="15">
      <c r="G812" t="s">
        <v>13</v>
      </c>
      <c r="H812" t="str">
        <f>"0128071-IN"</f>
        <v>0128071-IN</v>
      </c>
      <c r="I812" t="str">
        <f>"NARDIS PUBLIC SAFETY"</f>
        <v>NARDIS PUBLIC SAFETY</v>
      </c>
      <c r="J812" s="2">
        <v>78.85</v>
      </c>
    </row>
    <row r="813" spans="7:10" ht="15">
      <c r="G813" t="s">
        <v>13</v>
      </c>
      <c r="H813" t="str">
        <f>"0128127-IN"</f>
        <v>0128127-IN</v>
      </c>
      <c r="I813" t="str">
        <f>"NARDIS PUBLIC SAFETY"</f>
        <v>NARDIS PUBLIC SAFETY</v>
      </c>
      <c r="J813" s="2">
        <v>240.95</v>
      </c>
    </row>
    <row r="814" spans="1:10" ht="15">
      <c r="A814" t="s">
        <v>46</v>
      </c>
      <c r="B814" t="s">
        <v>11</v>
      </c>
      <c r="C814">
        <v>52971</v>
      </c>
      <c r="D814" s="2">
        <v>4489.43</v>
      </c>
      <c r="E814" s="1">
        <v>42705</v>
      </c>
      <c r="F814" t="s">
        <v>18</v>
      </c>
      <c r="G814" t="s">
        <v>13</v>
      </c>
      <c r="H814" t="str">
        <f>"1343508"</f>
        <v>1343508</v>
      </c>
      <c r="I814" t="str">
        <f aca="true" t="shared" si="19" ref="I814:I826">"BUREAU VERITAS NORTH AMERICA"</f>
        <v>BUREAU VERITAS NORTH AMERICA</v>
      </c>
      <c r="J814" s="2">
        <v>625</v>
      </c>
    </row>
    <row r="815" spans="7:10" ht="15">
      <c r="G815" t="s">
        <v>13</v>
      </c>
      <c r="H815" t="str">
        <f>"1343509"</f>
        <v>1343509</v>
      </c>
      <c r="I815" t="str">
        <f t="shared" si="19"/>
        <v>BUREAU VERITAS NORTH AMERICA</v>
      </c>
      <c r="J815" s="2">
        <v>450</v>
      </c>
    </row>
    <row r="816" spans="7:10" ht="15">
      <c r="G816" t="s">
        <v>13</v>
      </c>
      <c r="H816" t="str">
        <f>"1343510"</f>
        <v>1343510</v>
      </c>
      <c r="I816" t="str">
        <f t="shared" si="19"/>
        <v>BUREAU VERITAS NORTH AMERICA</v>
      </c>
      <c r="J816" s="2">
        <v>76.92</v>
      </c>
    </row>
    <row r="817" spans="7:10" ht="15">
      <c r="G817" t="s">
        <v>13</v>
      </c>
      <c r="H817" t="str">
        <f>"1343511"</f>
        <v>1343511</v>
      </c>
      <c r="I817" t="str">
        <f t="shared" si="19"/>
        <v>BUREAU VERITAS NORTH AMERICA</v>
      </c>
      <c r="J817" s="2">
        <v>76.92</v>
      </c>
    </row>
    <row r="818" spans="7:10" ht="15">
      <c r="G818" t="s">
        <v>13</v>
      </c>
      <c r="H818" t="str">
        <f>"1343512"</f>
        <v>1343512</v>
      </c>
      <c r="I818" t="str">
        <f t="shared" si="19"/>
        <v>BUREAU VERITAS NORTH AMERICA</v>
      </c>
      <c r="J818" s="2">
        <v>760.89</v>
      </c>
    </row>
    <row r="819" spans="7:10" ht="15">
      <c r="G819" t="s">
        <v>13</v>
      </c>
      <c r="H819" t="str">
        <f>"1343513"</f>
        <v>1343513</v>
      </c>
      <c r="I819" t="str">
        <f t="shared" si="19"/>
        <v>BUREAU VERITAS NORTH AMERICA</v>
      </c>
      <c r="J819" s="2">
        <v>76.92</v>
      </c>
    </row>
    <row r="820" spans="7:10" ht="15">
      <c r="G820" t="s">
        <v>13</v>
      </c>
      <c r="H820" t="str">
        <f>"1343514"</f>
        <v>1343514</v>
      </c>
      <c r="I820" t="str">
        <f t="shared" si="19"/>
        <v>BUREAU VERITAS NORTH AMERICA</v>
      </c>
      <c r="J820" s="2">
        <v>625</v>
      </c>
    </row>
    <row r="821" spans="7:10" ht="15">
      <c r="G821" t="s">
        <v>13</v>
      </c>
      <c r="H821" t="str">
        <f>"1343515"</f>
        <v>1343515</v>
      </c>
      <c r="I821" t="str">
        <f t="shared" si="19"/>
        <v>BUREAU VERITAS NORTH AMERICA</v>
      </c>
      <c r="J821" s="2">
        <v>258.99</v>
      </c>
    </row>
    <row r="822" spans="7:10" ht="15">
      <c r="G822" t="s">
        <v>13</v>
      </c>
      <c r="H822" t="str">
        <f>"1343516"</f>
        <v>1343516</v>
      </c>
      <c r="I822" t="str">
        <f t="shared" si="19"/>
        <v>BUREAU VERITAS NORTH AMERICA</v>
      </c>
      <c r="J822" s="2">
        <v>76.92</v>
      </c>
    </row>
    <row r="823" spans="7:10" ht="15">
      <c r="G823" t="s">
        <v>13</v>
      </c>
      <c r="H823" t="str">
        <f>"1343517"</f>
        <v>1343517</v>
      </c>
      <c r="I823" t="str">
        <f t="shared" si="19"/>
        <v>BUREAU VERITAS NORTH AMERICA</v>
      </c>
      <c r="J823" s="2">
        <v>150.75</v>
      </c>
    </row>
    <row r="824" spans="7:10" ht="15">
      <c r="G824" t="s">
        <v>13</v>
      </c>
      <c r="H824" t="str">
        <f>"1343518"</f>
        <v>1343518</v>
      </c>
      <c r="I824" t="str">
        <f t="shared" si="19"/>
        <v>BUREAU VERITAS NORTH AMERICA</v>
      </c>
      <c r="J824" s="2">
        <v>76.92</v>
      </c>
    </row>
    <row r="825" spans="7:10" ht="15">
      <c r="G825" t="s">
        <v>13</v>
      </c>
      <c r="H825" t="str">
        <f>"1343519"</f>
        <v>1343519</v>
      </c>
      <c r="I825" t="str">
        <f t="shared" si="19"/>
        <v>BUREAU VERITAS NORTH AMERICA</v>
      </c>
      <c r="J825" s="2">
        <v>999.45</v>
      </c>
    </row>
    <row r="826" spans="7:10" ht="15">
      <c r="G826" t="s">
        <v>13</v>
      </c>
      <c r="H826" t="str">
        <f>"1343520"</f>
        <v>1343520</v>
      </c>
      <c r="I826" t="str">
        <f t="shared" si="19"/>
        <v>BUREAU VERITAS NORTH AMERICA</v>
      </c>
      <c r="J826" s="2">
        <v>234.75</v>
      </c>
    </row>
    <row r="827" spans="1:10" ht="15">
      <c r="A827" t="s">
        <v>143</v>
      </c>
      <c r="B827" t="s">
        <v>11</v>
      </c>
      <c r="C827">
        <v>52974</v>
      </c>
      <c r="D827" s="2">
        <v>40.65</v>
      </c>
      <c r="E827" s="1">
        <v>42705</v>
      </c>
      <c r="F827" t="s">
        <v>18</v>
      </c>
      <c r="G827" t="s">
        <v>13</v>
      </c>
      <c r="H827" t="str">
        <f>"201611297814"</f>
        <v>201611297814</v>
      </c>
      <c r="I827" t="str">
        <f>"AT&amp;T"</f>
        <v>AT&amp;T</v>
      </c>
      <c r="J827" s="2">
        <v>31.6</v>
      </c>
    </row>
    <row r="828" spans="7:10" ht="15">
      <c r="G828" t="s">
        <v>13</v>
      </c>
      <c r="H828" t="str">
        <f>"201611307824"</f>
        <v>201611307824</v>
      </c>
      <c r="I828" t="str">
        <f>"AT&amp;T"</f>
        <v>AT&amp;T</v>
      </c>
      <c r="J828" s="2">
        <v>9.05</v>
      </c>
    </row>
    <row r="829" spans="1:10" ht="15">
      <c r="A829" t="s">
        <v>198</v>
      </c>
      <c r="B829" t="s">
        <v>11</v>
      </c>
      <c r="C829">
        <v>52975</v>
      </c>
      <c r="D829" s="2">
        <v>400</v>
      </c>
      <c r="E829" s="1">
        <v>42705</v>
      </c>
      <c r="F829" t="s">
        <v>18</v>
      </c>
      <c r="G829" t="s">
        <v>13</v>
      </c>
      <c r="H829" t="str">
        <f>"201611297800"</f>
        <v>201611297800</v>
      </c>
      <c r="I829" t="str">
        <f>"HOLD EXTR"</f>
        <v>HOLD EXTR</v>
      </c>
      <c r="J829" s="2">
        <v>400</v>
      </c>
    </row>
    <row r="830" spans="1:10" ht="15">
      <c r="A830" t="s">
        <v>230</v>
      </c>
      <c r="B830" t="s">
        <v>11</v>
      </c>
      <c r="C830">
        <v>52976</v>
      </c>
      <c r="D830" s="2">
        <v>800</v>
      </c>
      <c r="E830" s="1">
        <v>42705</v>
      </c>
      <c r="F830" t="s">
        <v>18</v>
      </c>
      <c r="G830" t="s">
        <v>13</v>
      </c>
      <c r="H830" t="str">
        <f>"REF M. BARRERA"</f>
        <v>REF M. BARRERA</v>
      </c>
      <c r="I830" t="str">
        <f>"EC REFUND"</f>
        <v>EC REFUND</v>
      </c>
      <c r="J830" s="2">
        <v>800</v>
      </c>
    </row>
    <row r="831" spans="1:10" ht="15">
      <c r="A831" t="s">
        <v>47</v>
      </c>
      <c r="B831" t="s">
        <v>11</v>
      </c>
      <c r="C831">
        <v>52977</v>
      </c>
      <c r="D831" s="2">
        <v>2105.59</v>
      </c>
      <c r="E831" s="1">
        <v>42705</v>
      </c>
      <c r="F831" t="s">
        <v>18</v>
      </c>
      <c r="G831" t="s">
        <v>13</v>
      </c>
      <c r="H831" t="str">
        <f>"11.10.2016"</f>
        <v>11.10.2016</v>
      </c>
      <c r="I831" t="str">
        <f>"CITY OF FLORESVILLE"</f>
        <v>CITY OF FLORESVILLE</v>
      </c>
      <c r="J831" s="2">
        <v>2105.59</v>
      </c>
    </row>
    <row r="832" spans="1:10" ht="15">
      <c r="A832" t="s">
        <v>162</v>
      </c>
      <c r="B832" t="s">
        <v>11</v>
      </c>
      <c r="C832">
        <v>52979</v>
      </c>
      <c r="D832" s="2">
        <v>1086</v>
      </c>
      <c r="E832" s="1">
        <v>42705</v>
      </c>
      <c r="F832" t="s">
        <v>18</v>
      </c>
      <c r="G832" t="s">
        <v>13</v>
      </c>
      <c r="H832" t="str">
        <f>"1043-881"</f>
        <v>1043-881</v>
      </c>
      <c r="I832" t="str">
        <f>"POLLUTION CONTROL SERVICES"</f>
        <v>POLLUTION CONTROL SERVICES</v>
      </c>
      <c r="J832" s="2">
        <v>870</v>
      </c>
    </row>
    <row r="833" spans="7:10" ht="15">
      <c r="G833" t="s">
        <v>13</v>
      </c>
      <c r="H833" t="str">
        <f>"1043-882"</f>
        <v>1043-882</v>
      </c>
      <c r="I833" t="str">
        <f>"POLLUTION CONTROL SERVICES"</f>
        <v>POLLUTION CONTROL SERVICES</v>
      </c>
      <c r="J833" s="2">
        <v>216</v>
      </c>
    </row>
    <row r="834" spans="1:11" ht="15">
      <c r="A834" t="s">
        <v>199</v>
      </c>
      <c r="B834" t="s">
        <v>11</v>
      </c>
      <c r="C834">
        <v>52980</v>
      </c>
      <c r="D834" s="2">
        <v>80</v>
      </c>
      <c r="E834" s="1">
        <v>42705</v>
      </c>
      <c r="F834" t="s">
        <v>18</v>
      </c>
      <c r="G834" t="s">
        <v>13</v>
      </c>
      <c r="H834" t="s">
        <v>231</v>
      </c>
      <c r="I834" t="s">
        <v>232</v>
      </c>
      <c r="J834" s="2" t="str">
        <f>"AHC PHYSICIANS INC."</f>
        <v>AHC PHYSICIANS INC.</v>
      </c>
      <c r="K834">
        <v>80</v>
      </c>
    </row>
    <row r="835" spans="1:10" ht="15">
      <c r="A835" t="s">
        <v>93</v>
      </c>
      <c r="B835" t="s">
        <v>11</v>
      </c>
      <c r="C835">
        <v>52981</v>
      </c>
      <c r="D835" s="2">
        <v>630.74</v>
      </c>
      <c r="E835" s="1">
        <v>42705</v>
      </c>
      <c r="F835" t="s">
        <v>18</v>
      </c>
      <c r="G835" t="s">
        <v>13</v>
      </c>
      <c r="H835" t="str">
        <f>"201611287797"</f>
        <v>201611287797</v>
      </c>
      <c r="I835" t="str">
        <f>"SBS ADMINISTRATIVE SERVICES  L"</f>
        <v>SBS ADMINISTRATIVE SERVICES  L</v>
      </c>
      <c r="J835" s="2">
        <v>630.74</v>
      </c>
    </row>
    <row r="836" spans="1:10" ht="15">
      <c r="A836" t="s">
        <v>233</v>
      </c>
      <c r="B836" t="s">
        <v>11</v>
      </c>
      <c r="C836">
        <v>52982</v>
      </c>
      <c r="D836" s="2">
        <v>1456.66</v>
      </c>
      <c r="E836" s="1">
        <v>42705</v>
      </c>
      <c r="F836" t="s">
        <v>18</v>
      </c>
      <c r="G836" t="s">
        <v>13</v>
      </c>
      <c r="H836" t="str">
        <f>"0205516-IN"</f>
        <v>0205516-IN</v>
      </c>
      <c r="I836" t="str">
        <f>"FORT BEND SERVICES  INC."</f>
        <v>FORT BEND SERVICES  INC.</v>
      </c>
      <c r="J836" s="2">
        <v>1456.66</v>
      </c>
    </row>
    <row r="837" spans="1:10" ht="15">
      <c r="A837" t="s">
        <v>234</v>
      </c>
      <c r="B837" t="s">
        <v>11</v>
      </c>
      <c r="C837">
        <v>52983</v>
      </c>
      <c r="D837" s="2">
        <v>134</v>
      </c>
      <c r="E837" s="1">
        <v>42705</v>
      </c>
      <c r="F837" t="s">
        <v>18</v>
      </c>
      <c r="G837" t="s">
        <v>13</v>
      </c>
      <c r="H837" t="str">
        <f>"134146"</f>
        <v>134146</v>
      </c>
      <c r="I837" t="str">
        <f>"FARMERS GIN CO."</f>
        <v>FARMERS GIN CO.</v>
      </c>
      <c r="J837" s="2">
        <v>134</v>
      </c>
    </row>
    <row r="838" spans="1:10" ht="15">
      <c r="A838" t="s">
        <v>200</v>
      </c>
      <c r="B838" t="s">
        <v>11</v>
      </c>
      <c r="C838">
        <v>52984</v>
      </c>
      <c r="D838" s="2">
        <v>300</v>
      </c>
      <c r="E838" s="1">
        <v>42705</v>
      </c>
      <c r="F838" t="s">
        <v>18</v>
      </c>
      <c r="G838" t="s">
        <v>13</v>
      </c>
      <c r="H838" t="str">
        <f>"00907"</f>
        <v>00907</v>
      </c>
      <c r="I838" t="str">
        <f>"AACOG"</f>
        <v>AACOG</v>
      </c>
      <c r="J838" s="2">
        <v>300</v>
      </c>
    </row>
    <row r="839" spans="1:10" ht="15">
      <c r="A839" t="s">
        <v>48</v>
      </c>
      <c r="B839" t="s">
        <v>11</v>
      </c>
      <c r="C839">
        <v>52985</v>
      </c>
      <c r="D839" s="2">
        <v>726.52</v>
      </c>
      <c r="E839" s="1">
        <v>42705</v>
      </c>
      <c r="F839" t="s">
        <v>18</v>
      </c>
      <c r="G839" t="s">
        <v>13</v>
      </c>
      <c r="H839" t="str">
        <f>"3547606666"</f>
        <v>3547606666</v>
      </c>
      <c r="I839" t="str">
        <f aca="true" t="shared" si="20" ref="I839:I846">"AUTOZONE"</f>
        <v>AUTOZONE</v>
      </c>
      <c r="J839" s="2">
        <v>13.56</v>
      </c>
    </row>
    <row r="840" spans="7:10" ht="15">
      <c r="G840" t="s">
        <v>13</v>
      </c>
      <c r="H840" t="str">
        <f>"3547606717"</f>
        <v>3547606717</v>
      </c>
      <c r="I840" t="str">
        <f t="shared" si="20"/>
        <v>AUTOZONE</v>
      </c>
      <c r="J840" s="2">
        <v>55.09</v>
      </c>
    </row>
    <row r="841" spans="7:10" ht="15">
      <c r="G841" t="s">
        <v>13</v>
      </c>
      <c r="H841" t="str">
        <f>"3547620945"</f>
        <v>3547620945</v>
      </c>
      <c r="I841" t="str">
        <f t="shared" si="20"/>
        <v>AUTOZONE</v>
      </c>
      <c r="J841" s="2">
        <v>99.39</v>
      </c>
    </row>
    <row r="842" spans="7:10" ht="15">
      <c r="G842" t="s">
        <v>13</v>
      </c>
      <c r="H842" t="str">
        <f>"3547642173"</f>
        <v>3547642173</v>
      </c>
      <c r="I842" t="str">
        <f t="shared" si="20"/>
        <v>AUTOZONE</v>
      </c>
      <c r="J842" s="2">
        <v>48.01</v>
      </c>
    </row>
    <row r="843" spans="7:10" ht="15">
      <c r="G843" t="s">
        <v>13</v>
      </c>
      <c r="H843" t="str">
        <f>"3547778435"</f>
        <v>3547778435</v>
      </c>
      <c r="I843" t="str">
        <f t="shared" si="20"/>
        <v>AUTOZONE</v>
      </c>
      <c r="J843" s="2">
        <v>65.98</v>
      </c>
    </row>
    <row r="844" spans="7:10" ht="15">
      <c r="G844" t="s">
        <v>13</v>
      </c>
      <c r="H844" t="str">
        <f>"3547783049"</f>
        <v>3547783049</v>
      </c>
      <c r="I844" t="str">
        <f t="shared" si="20"/>
        <v>AUTOZONE</v>
      </c>
      <c r="J844" s="2">
        <v>200</v>
      </c>
    </row>
    <row r="845" spans="7:10" ht="15">
      <c r="G845" t="s">
        <v>13</v>
      </c>
      <c r="H845" t="str">
        <f>"3547783873"</f>
        <v>3547783873</v>
      </c>
      <c r="I845" t="str">
        <f t="shared" si="20"/>
        <v>AUTOZONE</v>
      </c>
      <c r="J845" s="2">
        <v>149.6</v>
      </c>
    </row>
    <row r="846" spans="7:10" ht="15">
      <c r="G846" t="s">
        <v>13</v>
      </c>
      <c r="H846" t="str">
        <f>"3547788104"</f>
        <v>3547788104</v>
      </c>
      <c r="I846" t="str">
        <f t="shared" si="20"/>
        <v>AUTOZONE</v>
      </c>
      <c r="J846" s="2">
        <v>94.89</v>
      </c>
    </row>
    <row r="847" spans="1:10" ht="15">
      <c r="A847" t="s">
        <v>163</v>
      </c>
      <c r="B847" t="s">
        <v>11</v>
      </c>
      <c r="C847">
        <v>52987</v>
      </c>
      <c r="D847" s="2">
        <v>193.49</v>
      </c>
      <c r="E847" s="1">
        <v>42705</v>
      </c>
      <c r="F847" t="s">
        <v>18</v>
      </c>
      <c r="G847" t="s">
        <v>13</v>
      </c>
      <c r="H847" t="str">
        <f>"8402946056"</f>
        <v>8402946056</v>
      </c>
      <c r="I847" t="str">
        <f>"CINTAS CORPORATION"</f>
        <v>CINTAS CORPORATION</v>
      </c>
      <c r="J847" s="2">
        <v>193.49</v>
      </c>
    </row>
    <row r="848" spans="1:10" ht="15">
      <c r="A848" t="s">
        <v>50</v>
      </c>
      <c r="B848" t="s">
        <v>11</v>
      </c>
      <c r="C848">
        <v>52988</v>
      </c>
      <c r="D848" s="2">
        <v>738.55</v>
      </c>
      <c r="E848" s="1">
        <v>42705</v>
      </c>
      <c r="F848" t="s">
        <v>18</v>
      </c>
      <c r="G848" t="s">
        <v>13</v>
      </c>
      <c r="H848" t="str">
        <f>"675590"</f>
        <v>675590</v>
      </c>
      <c r="I848" t="str">
        <f>"SOUTHWAY FORD"</f>
        <v>SOUTHWAY FORD</v>
      </c>
      <c r="J848" s="2">
        <v>738.55</v>
      </c>
    </row>
    <row r="849" spans="1:10" ht="15">
      <c r="A849" t="s">
        <v>235</v>
      </c>
      <c r="B849" t="s">
        <v>11</v>
      </c>
      <c r="C849">
        <v>52989</v>
      </c>
      <c r="D849" s="2">
        <v>44325</v>
      </c>
      <c r="E849" s="1">
        <v>42705</v>
      </c>
      <c r="F849" t="s">
        <v>18</v>
      </c>
      <c r="G849" t="s">
        <v>13</v>
      </c>
      <c r="H849" t="str">
        <f>"161022"</f>
        <v>161022</v>
      </c>
      <c r="I849" t="str">
        <f>"TEXAS PATCHER"</f>
        <v>TEXAS PATCHER</v>
      </c>
      <c r="J849" s="2">
        <v>325</v>
      </c>
    </row>
    <row r="850" spans="7:10" ht="15">
      <c r="G850" t="s">
        <v>13</v>
      </c>
      <c r="H850" t="str">
        <f>"161121"</f>
        <v>161121</v>
      </c>
      <c r="I850" t="str">
        <f>"TEXAS PATCHER"</f>
        <v>TEXAS PATCHER</v>
      </c>
      <c r="J850" s="2">
        <v>44000</v>
      </c>
    </row>
    <row r="851" spans="1:10" ht="15">
      <c r="A851" t="s">
        <v>52</v>
      </c>
      <c r="B851" t="s">
        <v>11</v>
      </c>
      <c r="C851">
        <v>52990</v>
      </c>
      <c r="D851" s="2">
        <v>45</v>
      </c>
      <c r="E851" s="1">
        <v>42705</v>
      </c>
      <c r="F851" t="s">
        <v>18</v>
      </c>
      <c r="G851" t="s">
        <v>13</v>
      </c>
      <c r="H851" t="str">
        <f>"48287"</f>
        <v>48287</v>
      </c>
      <c r="I851" t="str">
        <f>"LOPEZ EXTERMINATING SERVICE  I"</f>
        <v>LOPEZ EXTERMINATING SERVICE  I</v>
      </c>
      <c r="J851" s="2">
        <v>45</v>
      </c>
    </row>
    <row r="852" spans="1:10" ht="15">
      <c r="A852" t="s">
        <v>202</v>
      </c>
      <c r="B852" t="s">
        <v>11</v>
      </c>
      <c r="C852">
        <v>52991</v>
      </c>
      <c r="D852" s="2">
        <v>3567.76</v>
      </c>
      <c r="E852" s="1">
        <v>42705</v>
      </c>
      <c r="F852" t="s">
        <v>15</v>
      </c>
      <c r="G852" t="s">
        <v>13</v>
      </c>
      <c r="H852" t="str">
        <f>"046"</f>
        <v>046</v>
      </c>
      <c r="I852" t="str">
        <f>"TEXAS WORKFORCE COMMISSION"</f>
        <v>TEXAS WORKFORCE COMMISSION</v>
      </c>
      <c r="J852" s="2">
        <v>3567.76</v>
      </c>
    </row>
    <row r="853" spans="1:10" ht="15">
      <c r="A853" t="s">
        <v>202</v>
      </c>
      <c r="B853" t="s">
        <v>11</v>
      </c>
      <c r="C853">
        <v>52991</v>
      </c>
      <c r="D853" s="2">
        <v>3567.76</v>
      </c>
      <c r="E853" s="1">
        <v>42705</v>
      </c>
      <c r="F853" t="s">
        <v>15</v>
      </c>
      <c r="G853" t="s">
        <v>16</v>
      </c>
      <c r="H853" t="str">
        <f>"CHECK"</f>
        <v>CHECK</v>
      </c>
      <c r="I853">
        <f>""</f>
      </c>
      <c r="J853" s="2">
        <v>3567.76</v>
      </c>
    </row>
    <row r="854" spans="1:10" ht="15">
      <c r="A854" t="s">
        <v>236</v>
      </c>
      <c r="B854" t="s">
        <v>11</v>
      </c>
      <c r="C854">
        <v>52992</v>
      </c>
      <c r="D854" s="2">
        <v>243.63</v>
      </c>
      <c r="E854" s="1">
        <v>42705</v>
      </c>
      <c r="F854" t="s">
        <v>18</v>
      </c>
      <c r="G854" t="s">
        <v>13</v>
      </c>
      <c r="H854" t="str">
        <f>"201611297812"</f>
        <v>201611297812</v>
      </c>
      <c r="I854" t="str">
        <f>"ANYTIME FITNESS"</f>
        <v>ANYTIME FITNESS</v>
      </c>
      <c r="J854" s="2">
        <v>243.63</v>
      </c>
    </row>
    <row r="855" spans="1:10" ht="15">
      <c r="A855" t="s">
        <v>237</v>
      </c>
      <c r="B855" t="s">
        <v>11</v>
      </c>
      <c r="C855">
        <v>52993</v>
      </c>
      <c r="D855" s="2">
        <v>750</v>
      </c>
      <c r="E855" s="1">
        <v>42705</v>
      </c>
      <c r="F855" t="s">
        <v>18</v>
      </c>
      <c r="G855" t="s">
        <v>13</v>
      </c>
      <c r="H855" t="str">
        <f>"7259"</f>
        <v>7259</v>
      </c>
      <c r="I855" t="str">
        <f>"BANNON &amp; ASSOCIATES  LLC"</f>
        <v>BANNON &amp; ASSOCIATES  LLC</v>
      </c>
      <c r="J855" s="2">
        <v>500</v>
      </c>
    </row>
    <row r="856" spans="7:10" ht="15">
      <c r="G856" t="s">
        <v>13</v>
      </c>
      <c r="H856" t="str">
        <f>"7263"</f>
        <v>7263</v>
      </c>
      <c r="I856" t="str">
        <f>"BANNON &amp; ASSOCIATES  LLC"</f>
        <v>BANNON &amp; ASSOCIATES  LLC</v>
      </c>
      <c r="J856" s="2">
        <v>250</v>
      </c>
    </row>
    <row r="857" spans="1:10" ht="15">
      <c r="A857" t="s">
        <v>238</v>
      </c>
      <c r="B857" t="s">
        <v>11</v>
      </c>
      <c r="C857">
        <v>52994</v>
      </c>
      <c r="D857" s="2">
        <v>156.66</v>
      </c>
      <c r="E857" s="1">
        <v>42705</v>
      </c>
      <c r="F857" t="s">
        <v>18</v>
      </c>
      <c r="G857" t="s">
        <v>13</v>
      </c>
      <c r="H857" t="str">
        <f>"TRAINING"</f>
        <v>TRAINING</v>
      </c>
      <c r="I857" t="str">
        <f>"JOE XIMENEZ"</f>
        <v>JOE XIMENEZ</v>
      </c>
      <c r="J857" s="2">
        <v>156.66</v>
      </c>
    </row>
    <row r="858" spans="1:10" ht="15">
      <c r="A858" t="s">
        <v>55</v>
      </c>
      <c r="B858" t="s">
        <v>11</v>
      </c>
      <c r="C858">
        <v>52995</v>
      </c>
      <c r="D858" s="2">
        <v>53.5</v>
      </c>
      <c r="E858" s="1">
        <v>42705</v>
      </c>
      <c r="F858" t="s">
        <v>18</v>
      </c>
      <c r="G858" t="s">
        <v>13</v>
      </c>
      <c r="H858" t="str">
        <f>"25114"</f>
        <v>25114</v>
      </c>
      <c r="I858" t="str">
        <f>"PRUSKI'S TIRE SHOP  L.L.C."</f>
        <v>PRUSKI'S TIRE SHOP  L.L.C.</v>
      </c>
      <c r="J858" s="2">
        <v>35</v>
      </c>
    </row>
    <row r="859" spans="7:10" ht="15">
      <c r="G859" t="s">
        <v>13</v>
      </c>
      <c r="H859" t="str">
        <f>"26909"</f>
        <v>26909</v>
      </c>
      <c r="I859" t="str">
        <f>"PRUSKI'S TIRE SHOP  L.L.C."</f>
        <v>PRUSKI'S TIRE SHOP  L.L.C.</v>
      </c>
      <c r="J859" s="2">
        <v>6</v>
      </c>
    </row>
    <row r="860" spans="7:10" ht="15">
      <c r="G860" t="s">
        <v>13</v>
      </c>
      <c r="H860" t="str">
        <f>"26966"</f>
        <v>26966</v>
      </c>
      <c r="I860" t="str">
        <f>"PRUSKI'S TIRE SHOP  L.L.C."</f>
        <v>PRUSKI'S TIRE SHOP  L.L.C.</v>
      </c>
      <c r="J860" s="2">
        <v>12.5</v>
      </c>
    </row>
    <row r="861" spans="1:10" ht="15">
      <c r="A861" t="s">
        <v>115</v>
      </c>
      <c r="B861" t="s">
        <v>11</v>
      </c>
      <c r="C861">
        <v>52996</v>
      </c>
      <c r="D861" s="2">
        <v>2349.72</v>
      </c>
      <c r="E861" s="1">
        <v>42705</v>
      </c>
      <c r="F861" t="s">
        <v>18</v>
      </c>
      <c r="G861" t="s">
        <v>13</v>
      </c>
      <c r="H861" t="str">
        <f>"61290323"</f>
        <v>61290323</v>
      </c>
      <c r="I861" t="str">
        <f>"VERIZON BUSINESS"</f>
        <v>VERIZON BUSINESS</v>
      </c>
      <c r="J861" s="2">
        <v>583.77</v>
      </c>
    </row>
    <row r="862" spans="7:10" ht="15">
      <c r="G862" t="s">
        <v>13</v>
      </c>
      <c r="H862" t="str">
        <f>"69931264"</f>
        <v>69931264</v>
      </c>
      <c r="I862" t="str">
        <f>"VERIZON BUSINESS"</f>
        <v>VERIZON BUSINESS</v>
      </c>
      <c r="J862" s="2">
        <v>794.24</v>
      </c>
    </row>
    <row r="863" spans="7:10" ht="15">
      <c r="G863" t="s">
        <v>13</v>
      </c>
      <c r="H863" t="str">
        <f>"69932028"</f>
        <v>69932028</v>
      </c>
      <c r="I863" t="str">
        <f>"VERIZON BUSINESS"</f>
        <v>VERIZON BUSINESS</v>
      </c>
      <c r="J863" s="2">
        <v>971.71</v>
      </c>
    </row>
    <row r="864" spans="1:10" ht="15">
      <c r="A864" t="s">
        <v>56</v>
      </c>
      <c r="B864" t="s">
        <v>11</v>
      </c>
      <c r="C864">
        <v>52997</v>
      </c>
      <c r="D864" s="2">
        <v>1300</v>
      </c>
      <c r="E864" s="1">
        <v>42705</v>
      </c>
      <c r="F864" t="s">
        <v>18</v>
      </c>
      <c r="G864" t="s">
        <v>13</v>
      </c>
      <c r="H864" t="str">
        <f>"0353268-IN"</f>
        <v>0353268-IN</v>
      </c>
      <c r="I864" t="str">
        <f>"SOUTHWASTE DISPOSAL  LLP"</f>
        <v>SOUTHWASTE DISPOSAL  LLP</v>
      </c>
      <c r="J864" s="2">
        <v>200</v>
      </c>
    </row>
    <row r="865" spans="7:10" ht="15">
      <c r="G865" t="s">
        <v>13</v>
      </c>
      <c r="H865" t="str">
        <f>"0354137-IN"</f>
        <v>0354137-IN</v>
      </c>
      <c r="I865" t="str">
        <f>"SOUTHWASTE DISPOSAL  LLP"</f>
        <v>SOUTHWASTE DISPOSAL  LLP</v>
      </c>
      <c r="J865" s="2">
        <v>400</v>
      </c>
    </row>
    <row r="866" spans="7:10" ht="15">
      <c r="G866" t="s">
        <v>13</v>
      </c>
      <c r="H866" t="str">
        <f>"0354161-IN"</f>
        <v>0354161-IN</v>
      </c>
      <c r="I866" t="str">
        <f>"SOUTHWASTE DISPOSAL  LLP"</f>
        <v>SOUTHWASTE DISPOSAL  LLP</v>
      </c>
      <c r="J866" s="2">
        <v>200</v>
      </c>
    </row>
    <row r="867" spans="7:10" ht="15">
      <c r="G867" t="s">
        <v>13</v>
      </c>
      <c r="H867" t="str">
        <f>"0355834-IN"</f>
        <v>0355834-IN</v>
      </c>
      <c r="I867" t="str">
        <f>"SOUTHWASTE DISPOSAL  LLP"</f>
        <v>SOUTHWASTE DISPOSAL  LLP</v>
      </c>
      <c r="J867" s="2">
        <v>500</v>
      </c>
    </row>
    <row r="868" spans="1:10" ht="15">
      <c r="A868" t="s">
        <v>57</v>
      </c>
      <c r="B868" t="s">
        <v>11</v>
      </c>
      <c r="C868">
        <v>52998</v>
      </c>
      <c r="D868" s="2">
        <v>215200</v>
      </c>
      <c r="E868" s="1">
        <v>42705</v>
      </c>
      <c r="F868" t="s">
        <v>18</v>
      </c>
      <c r="G868" t="s">
        <v>13</v>
      </c>
      <c r="H868" t="str">
        <f>"E13005"</f>
        <v>E13005</v>
      </c>
      <c r="I868" t="str">
        <f>"ASCO"</f>
        <v>ASCO</v>
      </c>
      <c r="J868" s="2">
        <v>142000</v>
      </c>
    </row>
    <row r="869" spans="7:10" ht="15">
      <c r="G869" t="s">
        <v>13</v>
      </c>
      <c r="H869" t="str">
        <f>"E13067"</f>
        <v>E13067</v>
      </c>
      <c r="I869" t="str">
        <f>"ASCO"</f>
        <v>ASCO</v>
      </c>
      <c r="J869" s="2">
        <v>73200</v>
      </c>
    </row>
    <row r="870" spans="1:10" ht="15">
      <c r="A870" t="s">
        <v>239</v>
      </c>
      <c r="B870" t="s">
        <v>11</v>
      </c>
      <c r="C870">
        <v>52999</v>
      </c>
      <c r="D870" s="2">
        <v>99.04</v>
      </c>
      <c r="E870" s="1">
        <v>42705</v>
      </c>
      <c r="F870" t="s">
        <v>18</v>
      </c>
      <c r="G870" t="s">
        <v>13</v>
      </c>
      <c r="H870" t="str">
        <f>"0001871"</f>
        <v>0001871</v>
      </c>
      <c r="I870" t="str">
        <f>"DIXIE FLAG MANUFACTURING COMPA"</f>
        <v>DIXIE FLAG MANUFACTURING COMPA</v>
      </c>
      <c r="J870" s="2">
        <v>99.04</v>
      </c>
    </row>
    <row r="871" spans="1:10" ht="15">
      <c r="A871" t="s">
        <v>59</v>
      </c>
      <c r="B871" t="s">
        <v>11</v>
      </c>
      <c r="C871">
        <v>53000</v>
      </c>
      <c r="D871" s="2">
        <v>596.26</v>
      </c>
      <c r="E871" s="1">
        <v>42705</v>
      </c>
      <c r="F871" t="s">
        <v>18</v>
      </c>
      <c r="G871" t="s">
        <v>13</v>
      </c>
      <c r="H871" t="str">
        <f>"3377309"</f>
        <v>3377309</v>
      </c>
      <c r="I871" t="str">
        <f>"EWALD TRACTOR SUPPLY"</f>
        <v>EWALD TRACTOR SUPPLY</v>
      </c>
      <c r="J871" s="2">
        <v>528.3</v>
      </c>
    </row>
    <row r="872" spans="7:10" ht="15">
      <c r="G872" t="s">
        <v>13</v>
      </c>
      <c r="H872" t="str">
        <f>"3377558"</f>
        <v>3377558</v>
      </c>
      <c r="I872" t="str">
        <f>"EWALD TRACTOR SUPPLY"</f>
        <v>EWALD TRACTOR SUPPLY</v>
      </c>
      <c r="J872" s="2">
        <v>67.96</v>
      </c>
    </row>
    <row r="873" spans="1:10" ht="15">
      <c r="A873" t="s">
        <v>240</v>
      </c>
      <c r="B873" t="s">
        <v>11</v>
      </c>
      <c r="C873">
        <v>53001</v>
      </c>
      <c r="D873" s="2">
        <v>638.22</v>
      </c>
      <c r="E873" s="1">
        <v>42705</v>
      </c>
      <c r="F873" t="s">
        <v>18</v>
      </c>
      <c r="G873" t="s">
        <v>13</v>
      </c>
      <c r="H873" t="str">
        <f>"37314"</f>
        <v>37314</v>
      </c>
      <c r="I873" t="str">
        <f>"PHOTOGRAPHS BY JIM"</f>
        <v>PHOTOGRAPHS BY JIM</v>
      </c>
      <c r="J873" s="2">
        <v>268.42</v>
      </c>
    </row>
    <row r="874" spans="7:10" ht="15">
      <c r="G874" t="s">
        <v>13</v>
      </c>
      <c r="H874" t="str">
        <f>"37317"</f>
        <v>37317</v>
      </c>
      <c r="I874" t="str">
        <f>"PHOTOGRAPHS BY JIM"</f>
        <v>PHOTOGRAPHS BY JIM</v>
      </c>
      <c r="J874" s="2">
        <v>369.8</v>
      </c>
    </row>
    <row r="875" spans="1:10" ht="15">
      <c r="A875" t="s">
        <v>116</v>
      </c>
      <c r="B875" t="s">
        <v>11</v>
      </c>
      <c r="C875">
        <v>53002</v>
      </c>
      <c r="D875" s="2">
        <v>72.95</v>
      </c>
      <c r="E875" s="1">
        <v>42705</v>
      </c>
      <c r="F875" t="s">
        <v>18</v>
      </c>
      <c r="G875" t="s">
        <v>13</v>
      </c>
      <c r="H875" t="str">
        <f>"A901715"</f>
        <v>A901715</v>
      </c>
      <c r="I875" t="str">
        <f>"TEXAS WIRED MUSIC  INC."</f>
        <v>TEXAS WIRED MUSIC  INC.</v>
      </c>
      <c r="J875" s="2">
        <v>72.95</v>
      </c>
    </row>
    <row r="876" spans="1:10" ht="15">
      <c r="A876" t="s">
        <v>241</v>
      </c>
      <c r="B876" t="s">
        <v>11</v>
      </c>
      <c r="C876">
        <v>53003</v>
      </c>
      <c r="D876" s="2">
        <v>702.5</v>
      </c>
      <c r="E876" s="1">
        <v>42705</v>
      </c>
      <c r="F876" t="s">
        <v>18</v>
      </c>
      <c r="G876" t="s">
        <v>13</v>
      </c>
      <c r="H876" t="str">
        <f>"354985"</f>
        <v>354985</v>
      </c>
      <c r="I876" t="str">
        <f>"LARRY SRALLA ELECTRIC"</f>
        <v>LARRY SRALLA ELECTRIC</v>
      </c>
      <c r="J876" s="2">
        <v>75</v>
      </c>
    </row>
    <row r="877" spans="7:10" ht="15">
      <c r="G877" t="s">
        <v>13</v>
      </c>
      <c r="H877" t="str">
        <f>"354996"</f>
        <v>354996</v>
      </c>
      <c r="I877" t="str">
        <f>"LARRY SRALLA ELECTRIC"</f>
        <v>LARRY SRALLA ELECTRIC</v>
      </c>
      <c r="J877" s="2">
        <v>387.5</v>
      </c>
    </row>
    <row r="878" spans="7:10" ht="15">
      <c r="G878" t="s">
        <v>13</v>
      </c>
      <c r="H878" t="str">
        <f>"733252"</f>
        <v>733252</v>
      </c>
      <c r="I878" t="str">
        <f>"LARRY SRALLA ELECTRIC"</f>
        <v>LARRY SRALLA ELECTRIC</v>
      </c>
      <c r="J878" s="2">
        <v>240</v>
      </c>
    </row>
    <row r="879" spans="1:10" ht="15">
      <c r="A879" t="s">
        <v>205</v>
      </c>
      <c r="B879" t="s">
        <v>11</v>
      </c>
      <c r="C879">
        <v>53004</v>
      </c>
      <c r="D879" s="2">
        <v>2658.6</v>
      </c>
      <c r="E879" s="1">
        <v>42705</v>
      </c>
      <c r="F879" t="s">
        <v>18</v>
      </c>
      <c r="G879" t="s">
        <v>13</v>
      </c>
      <c r="H879" t="str">
        <f>"47077710"</f>
        <v>47077710</v>
      </c>
      <c r="I879" t="str">
        <f>"ACCOUNTEMPS"</f>
        <v>ACCOUNTEMPS</v>
      </c>
      <c r="J879" s="2">
        <v>1139.4</v>
      </c>
    </row>
    <row r="880" spans="7:10" ht="15">
      <c r="G880" t="s">
        <v>13</v>
      </c>
      <c r="H880" t="str">
        <f>"47149520"</f>
        <v>47149520</v>
      </c>
      <c r="I880" t="str">
        <f>"ACCOUNTEMPS"</f>
        <v>ACCOUNTEMPS</v>
      </c>
      <c r="J880" s="2">
        <v>1519.2</v>
      </c>
    </row>
    <row r="881" spans="1:10" ht="15">
      <c r="A881" t="s">
        <v>63</v>
      </c>
      <c r="B881" t="s">
        <v>11</v>
      </c>
      <c r="C881">
        <v>53005</v>
      </c>
      <c r="D881" s="2">
        <v>743.24</v>
      </c>
      <c r="E881" s="1">
        <v>42705</v>
      </c>
      <c r="F881" t="s">
        <v>18</v>
      </c>
      <c r="G881" t="s">
        <v>13</v>
      </c>
      <c r="H881" t="str">
        <f>"087538065"</f>
        <v>087538065</v>
      </c>
      <c r="I881" t="str">
        <f aca="true" t="shared" si="21" ref="I881:I886">"CINTAS CORPORATION #087"</f>
        <v>CINTAS CORPORATION #087</v>
      </c>
      <c r="J881" s="2">
        <v>159.58</v>
      </c>
    </row>
    <row r="882" spans="7:10" ht="15">
      <c r="G882" t="s">
        <v>13</v>
      </c>
      <c r="H882" t="str">
        <f>"087542157"</f>
        <v>087542157</v>
      </c>
      <c r="I882" t="str">
        <f t="shared" si="21"/>
        <v>CINTAS CORPORATION #087</v>
      </c>
      <c r="J882" s="2">
        <v>91.89</v>
      </c>
    </row>
    <row r="883" spans="7:10" ht="15">
      <c r="G883" t="s">
        <v>13</v>
      </c>
      <c r="H883" t="str">
        <f>"087546269"</f>
        <v>087546269</v>
      </c>
      <c r="I883" t="str">
        <f t="shared" si="21"/>
        <v>CINTAS CORPORATION #087</v>
      </c>
      <c r="J883" s="2">
        <v>174.84</v>
      </c>
    </row>
    <row r="884" spans="7:10" ht="15">
      <c r="G884" t="s">
        <v>13</v>
      </c>
      <c r="H884" t="str">
        <f>"087550393"</f>
        <v>087550393</v>
      </c>
      <c r="I884" t="str">
        <f t="shared" si="21"/>
        <v>CINTAS CORPORATION #087</v>
      </c>
      <c r="J884" s="2">
        <v>213.23</v>
      </c>
    </row>
    <row r="885" spans="7:10" ht="15">
      <c r="G885" t="s">
        <v>13</v>
      </c>
      <c r="H885" t="str">
        <f>"087558576"</f>
        <v>087558576</v>
      </c>
      <c r="I885" t="str">
        <f t="shared" si="21"/>
        <v>CINTAS CORPORATION #087</v>
      </c>
      <c r="J885" s="2">
        <v>51.85</v>
      </c>
    </row>
    <row r="886" spans="7:10" ht="15">
      <c r="G886" t="s">
        <v>13</v>
      </c>
      <c r="H886" t="str">
        <f>"087566716"</f>
        <v>087566716</v>
      </c>
      <c r="I886" t="str">
        <f t="shared" si="21"/>
        <v>CINTAS CORPORATION #087</v>
      </c>
      <c r="J886" s="2">
        <v>51.85</v>
      </c>
    </row>
    <row r="887" spans="1:10" ht="15">
      <c r="A887" t="s">
        <v>64</v>
      </c>
      <c r="B887" t="s">
        <v>11</v>
      </c>
      <c r="C887">
        <v>53006</v>
      </c>
      <c r="D887" s="2">
        <v>30</v>
      </c>
      <c r="E887" s="1">
        <v>42705</v>
      </c>
      <c r="F887" t="s">
        <v>18</v>
      </c>
      <c r="G887" t="s">
        <v>13</v>
      </c>
      <c r="H887" t="str">
        <f>"722270"</f>
        <v>722270</v>
      </c>
      <c r="I887" t="str">
        <f>"VILLA TIRES"</f>
        <v>VILLA TIRES</v>
      </c>
      <c r="J887" s="2">
        <v>30</v>
      </c>
    </row>
    <row r="888" spans="1:10" ht="15">
      <c r="A888" t="s">
        <v>242</v>
      </c>
      <c r="B888" t="s">
        <v>11</v>
      </c>
      <c r="C888">
        <v>53007</v>
      </c>
      <c r="D888" s="2">
        <v>650</v>
      </c>
      <c r="E888" s="1">
        <v>42705</v>
      </c>
      <c r="F888" t="s">
        <v>18</v>
      </c>
      <c r="G888" t="s">
        <v>13</v>
      </c>
      <c r="H888" t="str">
        <f>"212050"</f>
        <v>212050</v>
      </c>
      <c r="I888" t="str">
        <f>"PUBLIC AGENCY TRAINING COUNCIL"</f>
        <v>PUBLIC AGENCY TRAINING COUNCIL</v>
      </c>
      <c r="J888" s="2">
        <v>325</v>
      </c>
    </row>
    <row r="889" spans="7:10" ht="15">
      <c r="G889" t="s">
        <v>13</v>
      </c>
      <c r="H889" t="str">
        <f>"212187"</f>
        <v>212187</v>
      </c>
      <c r="I889" t="str">
        <f>"PUBLIC AGENCY TRAINING COUNCIL"</f>
        <v>PUBLIC AGENCY TRAINING COUNCIL</v>
      </c>
      <c r="J889" s="2">
        <v>325</v>
      </c>
    </row>
    <row r="890" spans="1:10" ht="15">
      <c r="A890" t="s">
        <v>65</v>
      </c>
      <c r="B890" t="s">
        <v>11</v>
      </c>
      <c r="C890">
        <v>53008</v>
      </c>
      <c r="D890" s="2">
        <v>3262.81</v>
      </c>
      <c r="E890" s="1">
        <v>42705</v>
      </c>
      <c r="F890" t="s">
        <v>18</v>
      </c>
      <c r="G890" t="s">
        <v>13</v>
      </c>
      <c r="H890" t="str">
        <f>"9774238962"</f>
        <v>9774238962</v>
      </c>
      <c r="I890" t="str">
        <f>"VERIZON WIRELESS"</f>
        <v>VERIZON WIRELESS</v>
      </c>
      <c r="J890" s="2">
        <v>3108.06</v>
      </c>
    </row>
    <row r="891" spans="7:10" ht="15">
      <c r="G891" t="s">
        <v>13</v>
      </c>
      <c r="H891" t="str">
        <f>"9774238963"</f>
        <v>9774238963</v>
      </c>
      <c r="I891" t="str">
        <f>"VERIZON WIRELESS"</f>
        <v>VERIZON WIRELESS</v>
      </c>
      <c r="J891" s="2">
        <v>104.67</v>
      </c>
    </row>
    <row r="892" spans="7:10" ht="15">
      <c r="G892" t="s">
        <v>13</v>
      </c>
      <c r="H892" t="str">
        <f>"9774953683"</f>
        <v>9774953683</v>
      </c>
      <c r="I892" t="str">
        <f>"VERIZON WIRELESS"</f>
        <v>VERIZON WIRELESS</v>
      </c>
      <c r="J892" s="2">
        <v>50.08</v>
      </c>
    </row>
    <row r="893" spans="1:10" ht="15">
      <c r="A893" t="s">
        <v>67</v>
      </c>
      <c r="B893" t="s">
        <v>11</v>
      </c>
      <c r="C893">
        <v>53010</v>
      </c>
      <c r="D893" s="2">
        <v>303.75</v>
      </c>
      <c r="E893" s="1">
        <v>42705</v>
      </c>
      <c r="F893" t="s">
        <v>18</v>
      </c>
      <c r="G893" t="s">
        <v>13</v>
      </c>
      <c r="H893" t="str">
        <f>"11/30/2016"</f>
        <v>11/30/2016</v>
      </c>
      <c r="I893" t="str">
        <f>"MARIA GONZALES"</f>
        <v>MARIA GONZALES</v>
      </c>
      <c r="J893" s="2">
        <v>303.75</v>
      </c>
    </row>
    <row r="894" spans="1:10" ht="15">
      <c r="A894" t="s">
        <v>68</v>
      </c>
      <c r="B894" t="s">
        <v>11</v>
      </c>
      <c r="C894">
        <v>53011</v>
      </c>
      <c r="D894" s="2">
        <v>3773.73</v>
      </c>
      <c r="E894" s="1">
        <v>42705</v>
      </c>
      <c r="F894" t="s">
        <v>18</v>
      </c>
      <c r="G894" t="s">
        <v>13</v>
      </c>
      <c r="H894" t="str">
        <f>"876305559001"</f>
        <v>876305559001</v>
      </c>
      <c r="I894" t="str">
        <f aca="true" t="shared" si="22" ref="I894:I911">"OFFICE DEPOT  INC."</f>
        <v>OFFICE DEPOT  INC.</v>
      </c>
      <c r="J894" s="2">
        <v>20.98</v>
      </c>
    </row>
    <row r="895" spans="7:10" ht="15">
      <c r="G895" t="s">
        <v>13</v>
      </c>
      <c r="H895" t="str">
        <f>"876305919001"</f>
        <v>876305919001</v>
      </c>
      <c r="I895" t="str">
        <f t="shared" si="22"/>
        <v>OFFICE DEPOT  INC.</v>
      </c>
      <c r="J895" s="2">
        <v>296.15</v>
      </c>
    </row>
    <row r="896" spans="7:10" ht="15">
      <c r="G896" t="s">
        <v>13</v>
      </c>
      <c r="H896" t="str">
        <f>"876305920001"</f>
        <v>876305920001</v>
      </c>
      <c r="I896" t="str">
        <f t="shared" si="22"/>
        <v>OFFICE DEPOT  INC.</v>
      </c>
      <c r="J896" s="2">
        <v>32.36</v>
      </c>
    </row>
    <row r="897" spans="7:10" ht="15">
      <c r="G897" t="s">
        <v>13</v>
      </c>
      <c r="H897" t="str">
        <f>"876305921001"</f>
        <v>876305921001</v>
      </c>
      <c r="I897" t="str">
        <f t="shared" si="22"/>
        <v>OFFICE DEPOT  INC.</v>
      </c>
      <c r="J897" s="2">
        <v>240.01</v>
      </c>
    </row>
    <row r="898" spans="7:10" ht="15">
      <c r="G898" t="s">
        <v>13</v>
      </c>
      <c r="H898" t="str">
        <f>"876305922001"</f>
        <v>876305922001</v>
      </c>
      <c r="I898" t="str">
        <f t="shared" si="22"/>
        <v>OFFICE DEPOT  INC.</v>
      </c>
      <c r="J898" s="2">
        <v>6.39</v>
      </c>
    </row>
    <row r="899" spans="7:10" ht="15">
      <c r="G899" t="s">
        <v>13</v>
      </c>
      <c r="H899" t="str">
        <f>"876305923001"</f>
        <v>876305923001</v>
      </c>
      <c r="I899" t="str">
        <f t="shared" si="22"/>
        <v>OFFICE DEPOT  INC.</v>
      </c>
      <c r="J899" s="2">
        <v>119.6</v>
      </c>
    </row>
    <row r="900" spans="7:10" ht="15">
      <c r="G900" t="s">
        <v>13</v>
      </c>
      <c r="H900" t="str">
        <f>"876305924001"</f>
        <v>876305924001</v>
      </c>
      <c r="I900" t="str">
        <f t="shared" si="22"/>
        <v>OFFICE DEPOT  INC.</v>
      </c>
      <c r="J900" s="2">
        <v>376.28</v>
      </c>
    </row>
    <row r="901" spans="7:10" ht="15">
      <c r="G901" t="s">
        <v>13</v>
      </c>
      <c r="H901" t="str">
        <f>"876344303001"</f>
        <v>876344303001</v>
      </c>
      <c r="I901" t="str">
        <f t="shared" si="22"/>
        <v>OFFICE DEPOT  INC.</v>
      </c>
      <c r="J901" s="2">
        <v>2.09</v>
      </c>
    </row>
    <row r="902" spans="7:10" ht="15">
      <c r="G902" t="s">
        <v>13</v>
      </c>
      <c r="H902" t="str">
        <f>"876394550001"</f>
        <v>876394550001</v>
      </c>
      <c r="I902" t="str">
        <f t="shared" si="22"/>
        <v>OFFICE DEPOT  INC.</v>
      </c>
      <c r="J902" s="2">
        <v>452.86</v>
      </c>
    </row>
    <row r="903" spans="7:10" ht="15">
      <c r="G903" t="s">
        <v>13</v>
      </c>
      <c r="H903" t="str">
        <f>"876395782001"</f>
        <v>876395782001</v>
      </c>
      <c r="I903" t="str">
        <f t="shared" si="22"/>
        <v>OFFICE DEPOT  INC.</v>
      </c>
      <c r="J903" s="2">
        <v>229.58</v>
      </c>
    </row>
    <row r="904" spans="7:10" ht="15">
      <c r="G904" t="s">
        <v>13</v>
      </c>
      <c r="H904" t="str">
        <f>"876690465001"</f>
        <v>876690465001</v>
      </c>
      <c r="I904" t="str">
        <f t="shared" si="22"/>
        <v>OFFICE DEPOT  INC.</v>
      </c>
      <c r="J904" s="2">
        <v>615.41</v>
      </c>
    </row>
    <row r="905" spans="7:10" ht="15">
      <c r="G905" t="s">
        <v>13</v>
      </c>
      <c r="H905" t="str">
        <f>"876690878001"</f>
        <v>876690878001</v>
      </c>
      <c r="I905" t="str">
        <f t="shared" si="22"/>
        <v>OFFICE DEPOT  INC.</v>
      </c>
      <c r="J905" s="2">
        <v>529.7</v>
      </c>
    </row>
    <row r="906" spans="7:10" ht="15">
      <c r="G906" t="s">
        <v>13</v>
      </c>
      <c r="H906" t="str">
        <f>"876690879001"</f>
        <v>876690879001</v>
      </c>
      <c r="I906" t="str">
        <f t="shared" si="22"/>
        <v>OFFICE DEPOT  INC.</v>
      </c>
      <c r="J906" s="2">
        <v>26.62</v>
      </c>
    </row>
    <row r="907" spans="7:10" ht="15">
      <c r="G907" t="s">
        <v>13</v>
      </c>
      <c r="H907" t="str">
        <f>"876844086001"</f>
        <v>876844086001</v>
      </c>
      <c r="I907" t="str">
        <f t="shared" si="22"/>
        <v>OFFICE DEPOT  INC.</v>
      </c>
      <c r="J907" s="2">
        <v>115.03</v>
      </c>
    </row>
    <row r="908" spans="7:10" ht="15">
      <c r="G908" t="s">
        <v>13</v>
      </c>
      <c r="H908" t="str">
        <f>"879472091001"</f>
        <v>879472091001</v>
      </c>
      <c r="I908" t="str">
        <f t="shared" si="22"/>
        <v>OFFICE DEPOT  INC.</v>
      </c>
      <c r="J908" s="2">
        <v>133.5</v>
      </c>
    </row>
    <row r="909" spans="7:10" ht="15">
      <c r="G909" t="s">
        <v>13</v>
      </c>
      <c r="H909" t="str">
        <f>"879473166001"</f>
        <v>879473166001</v>
      </c>
      <c r="I909" t="str">
        <f t="shared" si="22"/>
        <v>OFFICE DEPOT  INC.</v>
      </c>
      <c r="J909" s="2">
        <v>208.8</v>
      </c>
    </row>
    <row r="910" spans="7:10" ht="15">
      <c r="G910" t="s">
        <v>13</v>
      </c>
      <c r="H910" t="str">
        <f>"879473167001"</f>
        <v>879473167001</v>
      </c>
      <c r="I910" t="str">
        <f t="shared" si="22"/>
        <v>OFFICE DEPOT  INC.</v>
      </c>
      <c r="J910" s="2">
        <v>54.98</v>
      </c>
    </row>
    <row r="911" spans="7:10" ht="15">
      <c r="G911" t="s">
        <v>13</v>
      </c>
      <c r="H911" t="str">
        <f>"879712131001"</f>
        <v>879712131001</v>
      </c>
      <c r="I911" t="str">
        <f t="shared" si="22"/>
        <v>OFFICE DEPOT  INC.</v>
      </c>
      <c r="J911" s="2">
        <v>313.39</v>
      </c>
    </row>
    <row r="912" spans="1:10" ht="15">
      <c r="A912" t="s">
        <v>118</v>
      </c>
      <c r="B912" t="s">
        <v>11</v>
      </c>
      <c r="C912">
        <v>53014</v>
      </c>
      <c r="D912" s="2">
        <v>76.2</v>
      </c>
      <c r="E912" s="1">
        <v>42705</v>
      </c>
      <c r="F912" t="s">
        <v>18</v>
      </c>
      <c r="G912" t="s">
        <v>13</v>
      </c>
      <c r="H912" t="str">
        <f>"201611287798"</f>
        <v>201611287798</v>
      </c>
      <c r="I912" t="str">
        <f>"TRACTOR SUPPLY CREDIT PLAN"</f>
        <v>TRACTOR SUPPLY CREDIT PLAN</v>
      </c>
      <c r="J912" s="2">
        <v>76.2</v>
      </c>
    </row>
    <row r="913" spans="1:10" ht="15">
      <c r="A913" t="s">
        <v>70</v>
      </c>
      <c r="B913" t="s">
        <v>11</v>
      </c>
      <c r="C913">
        <v>53015</v>
      </c>
      <c r="D913" s="2">
        <v>121.9</v>
      </c>
      <c r="E913" s="1">
        <v>42705</v>
      </c>
      <c r="F913" t="s">
        <v>18</v>
      </c>
      <c r="G913" t="s">
        <v>13</v>
      </c>
      <c r="H913" t="str">
        <f>"1426996"</f>
        <v>1426996</v>
      </c>
      <c r="I913" t="str">
        <f>"OMNIBUS-M  INC.D.B.A."</f>
        <v>OMNIBUS-M  INC.D.B.A.</v>
      </c>
      <c r="J913" s="2">
        <v>51.95</v>
      </c>
    </row>
    <row r="914" spans="7:10" ht="15">
      <c r="G914" t="s">
        <v>13</v>
      </c>
      <c r="H914" t="str">
        <f>"1426997"</f>
        <v>1426997</v>
      </c>
      <c r="I914" t="str">
        <f>"OMNIBUS-M  INC.D.B.A."</f>
        <v>OMNIBUS-M  INC.D.B.A.</v>
      </c>
      <c r="J914" s="2">
        <v>69.95</v>
      </c>
    </row>
    <row r="915" spans="1:10" ht="15">
      <c r="A915" t="s">
        <v>119</v>
      </c>
      <c r="B915" t="s">
        <v>11</v>
      </c>
      <c r="C915">
        <v>53016</v>
      </c>
      <c r="D915" s="2">
        <v>1670.96</v>
      </c>
      <c r="E915" s="1">
        <v>42705</v>
      </c>
      <c r="F915" t="s">
        <v>18</v>
      </c>
      <c r="G915" t="s">
        <v>13</v>
      </c>
      <c r="H915" t="str">
        <f>"857002136-16"</f>
        <v>857002136-16</v>
      </c>
      <c r="I915" t="str">
        <f>"DPC INDUSTRIES  INC."</f>
        <v>DPC INDUSTRIES  INC.</v>
      </c>
      <c r="J915" s="2">
        <v>721.44</v>
      </c>
    </row>
    <row r="916" spans="7:10" ht="15">
      <c r="G916" t="s">
        <v>13</v>
      </c>
      <c r="H916" t="str">
        <f>"857002179-16"</f>
        <v>857002179-16</v>
      </c>
      <c r="I916" t="str">
        <f>"DPC INDUSTRIES  INC."</f>
        <v>DPC INDUSTRIES  INC.</v>
      </c>
      <c r="J916" s="2">
        <v>619.52</v>
      </c>
    </row>
    <row r="917" spans="7:10" ht="15">
      <c r="G917" t="s">
        <v>13</v>
      </c>
      <c r="H917" t="str">
        <f>"DE85002441-16"</f>
        <v>DE85002441-16</v>
      </c>
      <c r="I917" t="str">
        <f>"DPC INDUSTRIES  INC."</f>
        <v>DPC INDUSTRIES  INC.</v>
      </c>
      <c r="J917" s="2">
        <v>200</v>
      </c>
    </row>
    <row r="918" spans="7:10" ht="15">
      <c r="G918" t="s">
        <v>13</v>
      </c>
      <c r="H918" t="str">
        <f>"DE85002677-16"</f>
        <v>DE85002677-16</v>
      </c>
      <c r="I918" t="str">
        <f>"DPC INDUSTRIES  INC."</f>
        <v>DPC INDUSTRIES  INC.</v>
      </c>
      <c r="J918" s="2">
        <v>130</v>
      </c>
    </row>
    <row r="919" spans="1:10" ht="15">
      <c r="A919" t="s">
        <v>120</v>
      </c>
      <c r="B919" t="s">
        <v>11</v>
      </c>
      <c r="C919">
        <v>53017</v>
      </c>
      <c r="D919" s="2">
        <v>2387.8</v>
      </c>
      <c r="E919" s="1">
        <v>42705</v>
      </c>
      <c r="F919" t="s">
        <v>18</v>
      </c>
      <c r="G919" t="s">
        <v>13</v>
      </c>
      <c r="H919" t="str">
        <f>"11136752"</f>
        <v>11136752</v>
      </c>
      <c r="I919" t="str">
        <f aca="true" t="shared" si="23" ref="I919:I925">"MCCOY'S CORPORATION"</f>
        <v>MCCOY'S CORPORATION</v>
      </c>
      <c r="J919" s="2">
        <v>14.98</v>
      </c>
    </row>
    <row r="920" spans="7:10" ht="15">
      <c r="G920" t="s">
        <v>13</v>
      </c>
      <c r="H920" t="str">
        <f>"11136779"</f>
        <v>11136779</v>
      </c>
      <c r="I920" t="str">
        <f t="shared" si="23"/>
        <v>MCCOY'S CORPORATION</v>
      </c>
      <c r="J920" s="2">
        <v>162.8</v>
      </c>
    </row>
    <row r="921" spans="7:10" ht="15">
      <c r="G921" t="s">
        <v>13</v>
      </c>
      <c r="H921" t="str">
        <f>"11137314"</f>
        <v>11137314</v>
      </c>
      <c r="I921" t="str">
        <f t="shared" si="23"/>
        <v>MCCOY'S CORPORATION</v>
      </c>
      <c r="J921" s="2">
        <v>43.96</v>
      </c>
    </row>
    <row r="922" spans="7:10" ht="15">
      <c r="G922" t="s">
        <v>13</v>
      </c>
      <c r="H922" t="str">
        <f>"11137406"</f>
        <v>11137406</v>
      </c>
      <c r="I922" t="str">
        <f t="shared" si="23"/>
        <v>MCCOY'S CORPORATION</v>
      </c>
      <c r="J922" s="2">
        <v>29.98</v>
      </c>
    </row>
    <row r="923" spans="7:10" ht="15">
      <c r="G923" t="s">
        <v>13</v>
      </c>
      <c r="H923" t="str">
        <f>"11137708"</f>
        <v>11137708</v>
      </c>
      <c r="I923" t="str">
        <f t="shared" si="23"/>
        <v>MCCOY'S CORPORATION</v>
      </c>
      <c r="J923" s="2">
        <v>98.35</v>
      </c>
    </row>
    <row r="924" spans="7:10" ht="15">
      <c r="G924" t="s">
        <v>13</v>
      </c>
      <c r="H924" t="str">
        <f>"11137730"</f>
        <v>11137730</v>
      </c>
      <c r="I924" t="str">
        <f t="shared" si="23"/>
        <v>MCCOY'S CORPORATION</v>
      </c>
      <c r="J924" s="2">
        <v>1938.76</v>
      </c>
    </row>
    <row r="925" spans="7:10" ht="15">
      <c r="G925" t="s">
        <v>13</v>
      </c>
      <c r="H925" t="str">
        <f>"11137744"</f>
        <v>11137744</v>
      </c>
      <c r="I925" t="str">
        <f t="shared" si="23"/>
        <v>MCCOY'S CORPORATION</v>
      </c>
      <c r="J925" s="2">
        <v>98.97</v>
      </c>
    </row>
    <row r="926" spans="1:10" ht="15">
      <c r="A926" t="s">
        <v>173</v>
      </c>
      <c r="B926" t="s">
        <v>11</v>
      </c>
      <c r="C926">
        <v>53019</v>
      </c>
      <c r="D926" s="2">
        <v>2000</v>
      </c>
      <c r="E926" s="1">
        <v>42705</v>
      </c>
      <c r="F926" t="s">
        <v>18</v>
      </c>
      <c r="G926" t="s">
        <v>13</v>
      </c>
      <c r="H926" t="str">
        <f>"16-0482"</f>
        <v>16-0482</v>
      </c>
      <c r="I926" t="str">
        <f>"INTREPID SURVEYING CORPORATION"</f>
        <v>INTREPID SURVEYING CORPORATION</v>
      </c>
      <c r="J926" s="2">
        <v>2000</v>
      </c>
    </row>
    <row r="927" spans="1:10" ht="15">
      <c r="A927" t="s">
        <v>243</v>
      </c>
      <c r="B927" t="s">
        <v>11</v>
      </c>
      <c r="C927">
        <v>53020</v>
      </c>
      <c r="D927" s="2">
        <v>19.5</v>
      </c>
      <c r="E927" s="1">
        <v>42705</v>
      </c>
      <c r="F927" t="s">
        <v>18</v>
      </c>
      <c r="G927" t="s">
        <v>13</v>
      </c>
      <c r="H927" t="str">
        <f>"201611297823"</f>
        <v>201611297823</v>
      </c>
      <c r="I927" t="str">
        <f>"DPS GENERAL SVC BUREAU"</f>
        <v>DPS GENERAL SVC BUREAU</v>
      </c>
      <c r="J927" s="2">
        <v>19.5</v>
      </c>
    </row>
    <row r="928" spans="1:10" ht="15">
      <c r="A928" t="s">
        <v>244</v>
      </c>
      <c r="B928" t="s">
        <v>11</v>
      </c>
      <c r="C928">
        <v>53021</v>
      </c>
      <c r="D928" s="2">
        <v>1820</v>
      </c>
      <c r="E928" s="1">
        <v>42705</v>
      </c>
      <c r="F928" t="s">
        <v>18</v>
      </c>
      <c r="G928" t="s">
        <v>13</v>
      </c>
      <c r="H928" t="str">
        <f>"BCMINV0002537"</f>
        <v>BCMINV0002537</v>
      </c>
      <c r="I928" t="str">
        <f>"WATCHGUARD VIDEO"</f>
        <v>WATCHGUARD VIDEO</v>
      </c>
      <c r="J928" s="2">
        <v>1820</v>
      </c>
    </row>
    <row r="929" spans="1:10" ht="15">
      <c r="A929" t="s">
        <v>100</v>
      </c>
      <c r="B929" t="s">
        <v>11</v>
      </c>
      <c r="C929">
        <v>53022</v>
      </c>
      <c r="D929" s="2">
        <v>76684.78</v>
      </c>
      <c r="E929" s="1">
        <v>42705</v>
      </c>
      <c r="F929" t="s">
        <v>18</v>
      </c>
      <c r="G929" t="s">
        <v>13</v>
      </c>
      <c r="H929" t="str">
        <f>"0859-001706418"</f>
        <v>0859-001706418</v>
      </c>
      <c r="I929" t="str">
        <f>"REPUBLIC SERVICES #859"</f>
        <v>REPUBLIC SERVICES #859</v>
      </c>
      <c r="J929" s="2">
        <v>740.26</v>
      </c>
    </row>
    <row r="930" spans="7:10" ht="15">
      <c r="G930" t="s">
        <v>13</v>
      </c>
      <c r="H930" t="str">
        <f>"0859-001709999"</f>
        <v>0859-001709999</v>
      </c>
      <c r="I930" t="str">
        <f>"REPUBLIC SERVICES #859"</f>
        <v>REPUBLIC SERVICES #859</v>
      </c>
      <c r="J930" s="2">
        <v>75944.52</v>
      </c>
    </row>
    <row r="931" spans="1:10" ht="15">
      <c r="A931" t="s">
        <v>101</v>
      </c>
      <c r="B931" t="s">
        <v>11</v>
      </c>
      <c r="C931">
        <v>53023</v>
      </c>
      <c r="D931" s="2">
        <v>496.6</v>
      </c>
      <c r="E931" s="1">
        <v>42705</v>
      </c>
      <c r="F931" t="s">
        <v>18</v>
      </c>
      <c r="G931" t="s">
        <v>13</v>
      </c>
      <c r="H931" t="str">
        <f>"727530"</f>
        <v>727530</v>
      </c>
      <c r="I931" t="str">
        <f>"A &amp; B COMMUNICATIONS"</f>
        <v>A &amp; B COMMUNICATIONS</v>
      </c>
      <c r="J931" s="2">
        <v>280</v>
      </c>
    </row>
    <row r="932" spans="7:10" ht="15">
      <c r="G932" t="s">
        <v>13</v>
      </c>
      <c r="H932" t="str">
        <f>"727605"</f>
        <v>727605</v>
      </c>
      <c r="I932" t="str">
        <f>"A &amp; B COMMUNICATIONS"</f>
        <v>A &amp; B COMMUNICATIONS</v>
      </c>
      <c r="J932" s="2">
        <v>216.6</v>
      </c>
    </row>
    <row r="933" spans="1:10" ht="15">
      <c r="A933" t="s">
        <v>73</v>
      </c>
      <c r="B933" t="s">
        <v>11</v>
      </c>
      <c r="C933">
        <v>53024</v>
      </c>
      <c r="D933" s="2">
        <v>28.62</v>
      </c>
      <c r="E933" s="1">
        <v>42705</v>
      </c>
      <c r="F933" t="s">
        <v>18</v>
      </c>
      <c r="G933" t="s">
        <v>13</v>
      </c>
      <c r="H933" t="str">
        <f>"5-606-15841"</f>
        <v>5-606-15841</v>
      </c>
      <c r="I933" t="str">
        <f>"FEDEX"</f>
        <v>FEDEX</v>
      </c>
      <c r="J933" s="2">
        <v>7.92</v>
      </c>
    </row>
    <row r="934" spans="7:10" ht="15">
      <c r="G934" t="s">
        <v>13</v>
      </c>
      <c r="H934" t="str">
        <f>"5-622-29390"</f>
        <v>5-622-29390</v>
      </c>
      <c r="I934" t="str">
        <f>"FEDEX"</f>
        <v>FEDEX</v>
      </c>
      <c r="J934" s="2">
        <v>20.7</v>
      </c>
    </row>
    <row r="935" spans="1:10" ht="15">
      <c r="A935" t="s">
        <v>74</v>
      </c>
      <c r="B935" t="s">
        <v>11</v>
      </c>
      <c r="C935">
        <v>53025</v>
      </c>
      <c r="D935" s="2">
        <v>70.45</v>
      </c>
      <c r="E935" s="1">
        <v>42705</v>
      </c>
      <c r="F935" t="s">
        <v>18</v>
      </c>
      <c r="G935" t="s">
        <v>13</v>
      </c>
      <c r="H935" t="str">
        <f>"201611297819"</f>
        <v>201611297819</v>
      </c>
      <c r="I935" t="str">
        <f>"TX TAG"</f>
        <v>TX TAG</v>
      </c>
      <c r="J935" s="2">
        <v>31</v>
      </c>
    </row>
    <row r="936" spans="7:10" ht="15">
      <c r="G936" t="s">
        <v>13</v>
      </c>
      <c r="H936" t="str">
        <f>"201611297822"</f>
        <v>201611297822</v>
      </c>
      <c r="I936" t="str">
        <f>"TX TAG"</f>
        <v>TX TAG</v>
      </c>
      <c r="J936" s="2">
        <v>39.45</v>
      </c>
    </row>
    <row r="937" spans="1:10" ht="15">
      <c r="A937" t="s">
        <v>184</v>
      </c>
      <c r="B937" t="s">
        <v>11</v>
      </c>
      <c r="C937">
        <v>53026</v>
      </c>
      <c r="D937" s="2">
        <v>1500</v>
      </c>
      <c r="E937" s="1">
        <v>42705</v>
      </c>
      <c r="F937" t="s">
        <v>18</v>
      </c>
      <c r="G937" t="s">
        <v>13</v>
      </c>
      <c r="H937" t="str">
        <f>"HOL EXTR"</f>
        <v>HOL EXTR</v>
      </c>
      <c r="I937" t="str">
        <f>"BILL ANGELINI"</f>
        <v>BILL ANGELINI</v>
      </c>
      <c r="J937" s="2">
        <v>1500</v>
      </c>
    </row>
    <row r="938" spans="1:10" ht="15">
      <c r="A938" t="s">
        <v>209</v>
      </c>
      <c r="B938" t="s">
        <v>11</v>
      </c>
      <c r="C938">
        <v>53027</v>
      </c>
      <c r="D938" s="2">
        <v>6264.65</v>
      </c>
      <c r="E938" s="1">
        <v>42705</v>
      </c>
      <c r="F938" t="s">
        <v>18</v>
      </c>
      <c r="G938" t="s">
        <v>13</v>
      </c>
      <c r="H938" t="str">
        <f>"PHS0170851"</f>
        <v>PHS0170851</v>
      </c>
      <c r="I938" t="str">
        <f>"TEXAS COMMISSION ON ENVIRONMEN"</f>
        <v>TEXAS COMMISSION ON ENVIRONMEN</v>
      </c>
      <c r="J938" s="2">
        <v>6264.65</v>
      </c>
    </row>
    <row r="939" spans="1:10" ht="15">
      <c r="A939" t="s">
        <v>104</v>
      </c>
      <c r="B939" t="s">
        <v>11</v>
      </c>
      <c r="C939">
        <v>53028</v>
      </c>
      <c r="D939" s="2">
        <v>79.6</v>
      </c>
      <c r="E939" s="1">
        <v>42705</v>
      </c>
      <c r="F939" t="s">
        <v>18</v>
      </c>
      <c r="G939" t="s">
        <v>13</v>
      </c>
      <c r="H939" t="str">
        <f>"11/30/16 AM"</f>
        <v>11/30/16 AM</v>
      </c>
      <c r="I939" t="str">
        <f>"CITY OF FLORESVILLE -PETTY CAS"</f>
        <v>CITY OF FLORESVILLE -PETTY CAS</v>
      </c>
      <c r="J939" s="2">
        <v>79.6</v>
      </c>
    </row>
    <row r="940" spans="1:10" ht="15">
      <c r="A940" t="s">
        <v>122</v>
      </c>
      <c r="B940" t="s">
        <v>11</v>
      </c>
      <c r="C940">
        <v>53029</v>
      </c>
      <c r="D940" s="2">
        <v>319.92</v>
      </c>
      <c r="E940" s="1">
        <v>42705</v>
      </c>
      <c r="F940" t="s">
        <v>18</v>
      </c>
      <c r="G940" t="s">
        <v>13</v>
      </c>
      <c r="H940" t="str">
        <f>"P10595"</f>
        <v>P10595</v>
      </c>
      <c r="I940" t="str">
        <f>"AG-PRO COMPANIES"</f>
        <v>AG-PRO COMPANIES</v>
      </c>
      <c r="J940" s="2">
        <v>319.92</v>
      </c>
    </row>
    <row r="941" spans="1:10" ht="15">
      <c r="A941" t="s">
        <v>245</v>
      </c>
      <c r="B941" t="s">
        <v>11</v>
      </c>
      <c r="C941">
        <v>53030</v>
      </c>
      <c r="D941" s="2">
        <v>2860</v>
      </c>
      <c r="E941" s="1">
        <v>42705</v>
      </c>
      <c r="F941" t="s">
        <v>18</v>
      </c>
      <c r="G941" t="s">
        <v>13</v>
      </c>
      <c r="H941" t="str">
        <f>"00277892"</f>
        <v>00277892</v>
      </c>
      <c r="I941" t="str">
        <f>"MUNICODE"</f>
        <v>MUNICODE</v>
      </c>
      <c r="J941" s="2">
        <v>2860</v>
      </c>
    </row>
    <row r="942" spans="1:10" ht="15">
      <c r="A942" t="s">
        <v>210</v>
      </c>
      <c r="B942" t="s">
        <v>11</v>
      </c>
      <c r="C942">
        <v>53031</v>
      </c>
      <c r="D942" s="2">
        <v>90</v>
      </c>
      <c r="E942" s="1">
        <v>42705</v>
      </c>
      <c r="F942" t="s">
        <v>18</v>
      </c>
      <c r="G942" t="s">
        <v>13</v>
      </c>
      <c r="H942" t="str">
        <f>"11/19/2016"</f>
        <v>11/19/2016</v>
      </c>
      <c r="I942" t="str">
        <f>"SHARON KERRIGAN"</f>
        <v>SHARON KERRIGAN</v>
      </c>
      <c r="J942" s="2">
        <v>90</v>
      </c>
    </row>
    <row r="943" spans="1:10" ht="15">
      <c r="A943" t="s">
        <v>131</v>
      </c>
      <c r="B943" t="s">
        <v>11</v>
      </c>
      <c r="C943">
        <v>53032</v>
      </c>
      <c r="D943" s="2">
        <v>90</v>
      </c>
      <c r="E943" s="1">
        <v>42705</v>
      </c>
      <c r="F943" t="s">
        <v>18</v>
      </c>
      <c r="G943" t="s">
        <v>13</v>
      </c>
      <c r="H943" t="str">
        <f>"11/19/2016"</f>
        <v>11/19/2016</v>
      </c>
      <c r="I943" t="str">
        <f>"DEBORAH KORCZYK"</f>
        <v>DEBORAH KORCZYK</v>
      </c>
      <c r="J943" s="2">
        <v>90</v>
      </c>
    </row>
    <row r="944" spans="1:10" ht="15">
      <c r="A944" t="s">
        <v>123</v>
      </c>
      <c r="B944" t="s">
        <v>11</v>
      </c>
      <c r="C944">
        <v>53033</v>
      </c>
      <c r="D944" s="2">
        <v>2409.62</v>
      </c>
      <c r="E944" s="1">
        <v>42705</v>
      </c>
      <c r="F944" t="s">
        <v>18</v>
      </c>
      <c r="G944" t="s">
        <v>13</v>
      </c>
      <c r="H944" t="str">
        <f>"52329115"</f>
        <v>52329115</v>
      </c>
      <c r="I944" t="str">
        <f>"DE LAGE LANDEN PUBLIC FINANCE"</f>
        <v>DE LAGE LANDEN PUBLIC FINANCE</v>
      </c>
      <c r="J944" s="2">
        <v>222.23</v>
      </c>
    </row>
    <row r="945" spans="7:10" ht="15">
      <c r="G945" t="s">
        <v>13</v>
      </c>
      <c r="H945" t="str">
        <f>"52329127"</f>
        <v>52329127</v>
      </c>
      <c r="I945" t="str">
        <f>"DE LAGE LANDEN PUBLIC FINANCE"</f>
        <v>DE LAGE LANDEN PUBLIC FINANCE</v>
      </c>
      <c r="J945" s="2">
        <v>96.79</v>
      </c>
    </row>
    <row r="946" spans="7:10" ht="15">
      <c r="G946" t="s">
        <v>13</v>
      </c>
      <c r="H946" t="str">
        <f>"52329141"</f>
        <v>52329141</v>
      </c>
      <c r="I946" t="str">
        <f>"DE LAGE LANDEN PUBLIC FINANCE"</f>
        <v>DE LAGE LANDEN PUBLIC FINANCE</v>
      </c>
      <c r="J946" s="2">
        <v>2090.6</v>
      </c>
    </row>
    <row r="947" spans="1:10" ht="15">
      <c r="A947" t="s">
        <v>246</v>
      </c>
      <c r="B947" t="s">
        <v>11</v>
      </c>
      <c r="C947">
        <v>53035</v>
      </c>
      <c r="D947" s="2">
        <v>2209.27</v>
      </c>
      <c r="E947" s="1">
        <v>42705</v>
      </c>
      <c r="F947" t="s">
        <v>18</v>
      </c>
      <c r="G947" t="s">
        <v>13</v>
      </c>
      <c r="H947" t="str">
        <f>"INV366154."</f>
        <v>INV366154.</v>
      </c>
      <c r="I947" t="str">
        <f>"DOCUMATION"</f>
        <v>DOCUMATION</v>
      </c>
      <c r="J947" s="2">
        <v>2209.27</v>
      </c>
    </row>
    <row r="948" spans="1:10" ht="15">
      <c r="A948" t="s">
        <v>247</v>
      </c>
      <c r="B948" t="s">
        <v>11</v>
      </c>
      <c r="C948">
        <v>53036</v>
      </c>
      <c r="D948" s="2">
        <v>2620.75</v>
      </c>
      <c r="E948" s="1">
        <v>42705</v>
      </c>
      <c r="F948" t="s">
        <v>18</v>
      </c>
      <c r="G948" t="s">
        <v>13</v>
      </c>
      <c r="H948" t="str">
        <f>"SI-996112"</f>
        <v>SI-996112</v>
      </c>
      <c r="I948" t="str">
        <f>"BASS COMPUTER  INC."</f>
        <v>BASS COMPUTER  INC.</v>
      </c>
      <c r="J948" s="2">
        <v>1873.25</v>
      </c>
    </row>
    <row r="949" spans="7:10" ht="15">
      <c r="G949" t="s">
        <v>13</v>
      </c>
      <c r="H949" t="str">
        <f>"SI-996357"</f>
        <v>SI-996357</v>
      </c>
      <c r="I949" t="str">
        <f>"BASS COMPUTER  INC."</f>
        <v>BASS COMPUTER  INC.</v>
      </c>
      <c r="J949" s="2">
        <v>747.5</v>
      </c>
    </row>
    <row r="950" spans="1:10" ht="15">
      <c r="A950" t="s">
        <v>248</v>
      </c>
      <c r="B950" t="s">
        <v>11</v>
      </c>
      <c r="C950">
        <v>53037</v>
      </c>
      <c r="D950" s="2">
        <v>326.28</v>
      </c>
      <c r="E950" s="1">
        <v>42705</v>
      </c>
      <c r="F950" t="s">
        <v>18</v>
      </c>
      <c r="G950" t="s">
        <v>13</v>
      </c>
      <c r="H950" t="str">
        <f>" 10669512"</f>
        <v> 10669512</v>
      </c>
      <c r="I950" t="str">
        <f>"ACE MART RESTAURANT SUPPLY COM"</f>
        <v>ACE MART RESTAURANT SUPPLY COM</v>
      </c>
      <c r="J950" s="2">
        <v>326.28</v>
      </c>
    </row>
    <row r="951" spans="1:10" ht="15">
      <c r="A951" t="s">
        <v>81</v>
      </c>
      <c r="B951" t="s">
        <v>11</v>
      </c>
      <c r="C951">
        <v>53038</v>
      </c>
      <c r="D951" s="2">
        <v>516.15</v>
      </c>
      <c r="E951" s="1">
        <v>42705</v>
      </c>
      <c r="F951" t="s">
        <v>18</v>
      </c>
      <c r="G951" t="s">
        <v>13</v>
      </c>
      <c r="H951" t="str">
        <f>"201611297801"</f>
        <v>201611297801</v>
      </c>
      <c r="I951" t="str">
        <f aca="true" t="shared" si="24" ref="I951:I961">"FRONTIER"</f>
        <v>FRONTIER</v>
      </c>
      <c r="J951" s="2">
        <v>35.16</v>
      </c>
    </row>
    <row r="952" spans="7:10" ht="15">
      <c r="G952" t="s">
        <v>13</v>
      </c>
      <c r="H952" t="str">
        <f>"201611297802"</f>
        <v>201611297802</v>
      </c>
      <c r="I952" t="str">
        <f t="shared" si="24"/>
        <v>FRONTIER</v>
      </c>
      <c r="J952" s="2">
        <v>54.87</v>
      </c>
    </row>
    <row r="953" spans="7:10" ht="15">
      <c r="G953" t="s">
        <v>13</v>
      </c>
      <c r="H953" t="str">
        <f>"201611297808"</f>
        <v>201611297808</v>
      </c>
      <c r="I953" t="str">
        <f t="shared" si="24"/>
        <v>FRONTIER</v>
      </c>
      <c r="J953" s="2">
        <v>73.53</v>
      </c>
    </row>
    <row r="954" spans="7:10" ht="15">
      <c r="G954" t="s">
        <v>13</v>
      </c>
      <c r="H954" t="str">
        <f>"201611297809"</f>
        <v>201611297809</v>
      </c>
      <c r="I954" t="str">
        <f t="shared" si="24"/>
        <v>FRONTIER</v>
      </c>
      <c r="J954" s="2">
        <v>34.55</v>
      </c>
    </row>
    <row r="955" spans="7:10" ht="15">
      <c r="G955" t="s">
        <v>13</v>
      </c>
      <c r="H955" t="str">
        <f>"201611297810"</f>
        <v>201611297810</v>
      </c>
      <c r="I955" t="str">
        <f t="shared" si="24"/>
        <v>FRONTIER</v>
      </c>
      <c r="J955" s="2">
        <v>50.3</v>
      </c>
    </row>
    <row r="956" spans="7:10" ht="15">
      <c r="G956" t="s">
        <v>13</v>
      </c>
      <c r="H956" t="str">
        <f>"201611297811"</f>
        <v>201611297811</v>
      </c>
      <c r="I956" t="str">
        <f t="shared" si="24"/>
        <v>FRONTIER</v>
      </c>
      <c r="J956" s="2">
        <v>74.32</v>
      </c>
    </row>
    <row r="957" spans="7:10" ht="15">
      <c r="G957" t="s">
        <v>13</v>
      </c>
      <c r="H957" t="str">
        <f>"201611297815"</f>
        <v>201611297815</v>
      </c>
      <c r="I957" t="str">
        <f t="shared" si="24"/>
        <v>FRONTIER</v>
      </c>
      <c r="J957" s="2">
        <v>32.7</v>
      </c>
    </row>
    <row r="958" spans="7:10" ht="15">
      <c r="G958" t="s">
        <v>13</v>
      </c>
      <c r="H958" t="str">
        <f>"201611297816"</f>
        <v>201611297816</v>
      </c>
      <c r="I958" t="str">
        <f t="shared" si="24"/>
        <v>FRONTIER</v>
      </c>
      <c r="J958" s="2">
        <v>34.05</v>
      </c>
    </row>
    <row r="959" spans="7:10" ht="15">
      <c r="G959" t="s">
        <v>13</v>
      </c>
      <c r="H959" t="str">
        <f>"201611297817"</f>
        <v>201611297817</v>
      </c>
      <c r="I959" t="str">
        <f t="shared" si="24"/>
        <v>FRONTIER</v>
      </c>
      <c r="J959" s="2">
        <v>62.38</v>
      </c>
    </row>
    <row r="960" spans="7:10" ht="15">
      <c r="G960" t="s">
        <v>13</v>
      </c>
      <c r="H960" t="str">
        <f>"201611297818"</f>
        <v>201611297818</v>
      </c>
      <c r="I960" t="str">
        <f t="shared" si="24"/>
        <v>FRONTIER</v>
      </c>
      <c r="J960" s="2">
        <v>31.59</v>
      </c>
    </row>
    <row r="961" spans="7:10" ht="15">
      <c r="G961" t="s">
        <v>13</v>
      </c>
      <c r="H961" t="str">
        <f>"201611307825"</f>
        <v>201611307825</v>
      </c>
      <c r="I961" t="str">
        <f t="shared" si="24"/>
        <v>FRONTIER</v>
      </c>
      <c r="J961" s="2">
        <v>32.7</v>
      </c>
    </row>
    <row r="962" spans="1:10" ht="15">
      <c r="A962" t="s">
        <v>126</v>
      </c>
      <c r="B962" t="s">
        <v>11</v>
      </c>
      <c r="C962">
        <v>53040</v>
      </c>
      <c r="D962" s="2">
        <v>105</v>
      </c>
      <c r="E962" s="1">
        <v>42705</v>
      </c>
      <c r="F962" t="s">
        <v>18</v>
      </c>
      <c r="G962" t="s">
        <v>13</v>
      </c>
      <c r="H962" t="str">
        <f>"11/24 &amp; 11/26"</f>
        <v>11/24 &amp; 11/26</v>
      </c>
      <c r="I962" t="str">
        <f>"SHIRLEY UNDERWOOD"</f>
        <v>SHIRLEY UNDERWOOD</v>
      </c>
      <c r="J962" s="2">
        <v>50</v>
      </c>
    </row>
    <row r="963" spans="7:10" ht="15">
      <c r="G963" t="s">
        <v>13</v>
      </c>
      <c r="H963" t="str">
        <f>"11/8 &amp; 11/12"</f>
        <v>11/8 &amp; 11/12</v>
      </c>
      <c r="I963" t="str">
        <f>"SHIRLEY UNDERWOOD"</f>
        <v>SHIRLEY UNDERWOOD</v>
      </c>
      <c r="J963" s="2">
        <v>55</v>
      </c>
    </row>
    <row r="964" spans="1:10" ht="15">
      <c r="A964" t="s">
        <v>132</v>
      </c>
      <c r="B964" t="s">
        <v>11</v>
      </c>
      <c r="C964">
        <v>53041</v>
      </c>
      <c r="D964" s="2">
        <v>4000</v>
      </c>
      <c r="E964" s="1">
        <v>42705</v>
      </c>
      <c r="F964" t="s">
        <v>18</v>
      </c>
      <c r="G964" t="s">
        <v>13</v>
      </c>
      <c r="H964" t="str">
        <f>"INVOICE 3"</f>
        <v>INVOICE 3</v>
      </c>
      <c r="I964" t="str">
        <f>"DEBRA J. DOCKERY"</f>
        <v>DEBRA J. DOCKERY</v>
      </c>
      <c r="J964" s="2">
        <v>4000</v>
      </c>
    </row>
    <row r="965" spans="1:10" ht="15">
      <c r="A965" t="s">
        <v>249</v>
      </c>
      <c r="B965" t="s">
        <v>11</v>
      </c>
      <c r="C965">
        <v>53042</v>
      </c>
      <c r="D965" s="2">
        <v>350</v>
      </c>
      <c r="E965" s="1">
        <v>42705</v>
      </c>
      <c r="F965" t="s">
        <v>18</v>
      </c>
      <c r="G965" t="s">
        <v>13</v>
      </c>
      <c r="H965" t="str">
        <f>"004"</f>
        <v>004</v>
      </c>
      <c r="I965" t="str">
        <f>"ACOUSTIC TO ROCK STUDIOS"</f>
        <v>ACOUSTIC TO ROCK STUDIOS</v>
      </c>
      <c r="J965" s="2">
        <v>350</v>
      </c>
    </row>
    <row r="966" spans="1:10" ht="15">
      <c r="A966" t="s">
        <v>250</v>
      </c>
      <c r="B966" t="s">
        <v>11</v>
      </c>
      <c r="C966">
        <v>53043</v>
      </c>
      <c r="D966" s="2">
        <v>300</v>
      </c>
      <c r="E966" s="1">
        <v>42705</v>
      </c>
      <c r="F966" t="s">
        <v>18</v>
      </c>
      <c r="G966" t="s">
        <v>13</v>
      </c>
      <c r="H966" t="str">
        <f>"40529"</f>
        <v>40529</v>
      </c>
      <c r="I966" t="str">
        <f>"BNETRADIO - TEJANO"</f>
        <v>BNETRADIO - TEJANO</v>
      </c>
      <c r="J966" s="2">
        <v>300</v>
      </c>
    </row>
    <row r="967" spans="1:10" ht="15">
      <c r="A967" t="s">
        <v>251</v>
      </c>
      <c r="B967" t="s">
        <v>11</v>
      </c>
      <c r="C967">
        <v>53044</v>
      </c>
      <c r="D967" s="2">
        <v>1552.02</v>
      </c>
      <c r="E967" s="1">
        <v>42705</v>
      </c>
      <c r="F967" t="s">
        <v>18</v>
      </c>
      <c r="G967" t="s">
        <v>13</v>
      </c>
      <c r="H967" t="str">
        <f>"VISION PLAN"</f>
        <v>VISION PLAN</v>
      </c>
      <c r="I967" t="str">
        <f>"VISION SERVICE PLAN"</f>
        <v>VISION SERVICE PLAN</v>
      </c>
      <c r="J967" s="2">
        <v>1552.02</v>
      </c>
    </row>
    <row r="968" spans="1:10" ht="15">
      <c r="A968" t="s">
        <v>252</v>
      </c>
      <c r="B968" t="s">
        <v>11</v>
      </c>
      <c r="C968">
        <v>53045</v>
      </c>
      <c r="D968" s="2">
        <v>525</v>
      </c>
      <c r="E968" s="1">
        <v>42705</v>
      </c>
      <c r="F968" t="s">
        <v>18</v>
      </c>
      <c r="G968" t="s">
        <v>13</v>
      </c>
      <c r="H968" t="str">
        <f>"90260"</f>
        <v>90260</v>
      </c>
      <c r="I968" t="str">
        <f>"ARAMENDIA"</f>
        <v>ARAMENDIA</v>
      </c>
      <c r="J968" s="2">
        <v>525</v>
      </c>
    </row>
    <row r="969" spans="1:10" ht="15">
      <c r="A969" t="s">
        <v>253</v>
      </c>
      <c r="B969" t="s">
        <v>11</v>
      </c>
      <c r="C969">
        <v>53046</v>
      </c>
      <c r="D969" s="2">
        <v>550</v>
      </c>
      <c r="E969" s="1">
        <v>42705</v>
      </c>
      <c r="F969" t="s">
        <v>18</v>
      </c>
      <c r="G969" t="s">
        <v>13</v>
      </c>
      <c r="H969" t="str">
        <f>"LAB-0012191"</f>
        <v>LAB-0012191</v>
      </c>
      <c r="I969" t="str">
        <f>"LOWER COLORADO RIVER AUTHORITY"</f>
        <v>LOWER COLORADO RIVER AUTHORITY</v>
      </c>
      <c r="J969" s="2">
        <v>550</v>
      </c>
    </row>
    <row r="970" spans="1:10" ht="15">
      <c r="A970" t="s">
        <v>254</v>
      </c>
      <c r="B970" t="s">
        <v>11</v>
      </c>
      <c r="C970">
        <v>53047</v>
      </c>
      <c r="D970" s="2">
        <v>4950</v>
      </c>
      <c r="E970" s="1">
        <v>42705</v>
      </c>
      <c r="F970" t="s">
        <v>18</v>
      </c>
      <c r="G970" t="s">
        <v>13</v>
      </c>
      <c r="H970" t="str">
        <f>"8596"</f>
        <v>8596</v>
      </c>
      <c r="I970" t="str">
        <f>"HAYES ENGINEERING  INC"</f>
        <v>HAYES ENGINEERING  INC</v>
      </c>
      <c r="J970" s="2">
        <v>4950</v>
      </c>
    </row>
    <row r="971" spans="1:10" ht="15">
      <c r="A971" t="s">
        <v>165</v>
      </c>
      <c r="B971" t="s">
        <v>11</v>
      </c>
      <c r="C971">
        <v>53048</v>
      </c>
      <c r="D971" s="2">
        <v>825</v>
      </c>
      <c r="E971" s="1">
        <v>42705</v>
      </c>
      <c r="F971" t="s">
        <v>18</v>
      </c>
      <c r="G971" t="s">
        <v>13</v>
      </c>
      <c r="H971" t="str">
        <f>"10306"</f>
        <v>10306</v>
      </c>
      <c r="I971" t="str">
        <f>"BRYAN AIR CONDITIONING &amp; HEATI"</f>
        <v>BRYAN AIR CONDITIONING &amp; HEATI</v>
      </c>
      <c r="J971" s="2">
        <v>825</v>
      </c>
    </row>
    <row r="972" spans="1:10" ht="15">
      <c r="A972" t="s">
        <v>66</v>
      </c>
      <c r="B972" t="s">
        <v>11</v>
      </c>
      <c r="C972">
        <v>53049</v>
      </c>
      <c r="D972" s="2">
        <v>7200</v>
      </c>
      <c r="E972" s="1">
        <v>42705</v>
      </c>
      <c r="F972" t="s">
        <v>18</v>
      </c>
      <c r="G972" t="s">
        <v>13</v>
      </c>
      <c r="H972" t="str">
        <f>"DISPATCH FEE"</f>
        <v>DISPATCH FEE</v>
      </c>
      <c r="I972" t="str">
        <f>"WILSON COUNTY AUDITOR"</f>
        <v>WILSON COUNTY AUDITOR</v>
      </c>
      <c r="J972" s="2">
        <v>7200</v>
      </c>
    </row>
    <row r="973" spans="1:10" ht="15">
      <c r="A973" t="s">
        <v>255</v>
      </c>
      <c r="B973" t="s">
        <v>11</v>
      </c>
      <c r="C973">
        <v>53050</v>
      </c>
      <c r="D973" s="2">
        <v>582.14</v>
      </c>
      <c r="E973" s="1">
        <v>42705</v>
      </c>
      <c r="F973" t="s">
        <v>18</v>
      </c>
      <c r="G973" t="s">
        <v>13</v>
      </c>
      <c r="H973" t="str">
        <f>"I548244"</f>
        <v>I548244</v>
      </c>
      <c r="I973" t="str">
        <f>"TAPCO"</f>
        <v>TAPCO</v>
      </c>
      <c r="J973" s="2">
        <v>582.14</v>
      </c>
    </row>
    <row r="974" spans="1:10" ht="15">
      <c r="A974" t="s">
        <v>174</v>
      </c>
      <c r="B974" t="s">
        <v>11</v>
      </c>
      <c r="C974">
        <v>53051</v>
      </c>
      <c r="D974" s="2">
        <v>2781.16</v>
      </c>
      <c r="E974" s="1">
        <v>42705</v>
      </c>
      <c r="F974" t="s">
        <v>18</v>
      </c>
      <c r="G974" t="s">
        <v>13</v>
      </c>
      <c r="H974" t="str">
        <f>"16057"</f>
        <v>16057</v>
      </c>
      <c r="I974" t="str">
        <f>"AB WOODWORKS"</f>
        <v>AB WOODWORKS</v>
      </c>
      <c r="J974" s="2">
        <v>2781.16</v>
      </c>
    </row>
    <row r="975" spans="1:10" ht="15">
      <c r="A975" t="s">
        <v>102</v>
      </c>
      <c r="B975" t="s">
        <v>11</v>
      </c>
      <c r="C975">
        <v>53052</v>
      </c>
      <c r="D975" s="2">
        <v>750</v>
      </c>
      <c r="E975" s="1">
        <v>42705</v>
      </c>
      <c r="F975" t="s">
        <v>18</v>
      </c>
      <c r="G975" t="s">
        <v>13</v>
      </c>
      <c r="H975" t="str">
        <f>"1648-20161201-1"</f>
        <v>1648-20161201-1</v>
      </c>
      <c r="I975" t="str">
        <f>"LVWIFI.COM"</f>
        <v>LVWIFI.COM</v>
      </c>
      <c r="J975" s="2">
        <v>750</v>
      </c>
    </row>
    <row r="976" spans="1:10" ht="15">
      <c r="A976" t="s">
        <v>75</v>
      </c>
      <c r="B976" t="s">
        <v>11</v>
      </c>
      <c r="C976">
        <v>53053</v>
      </c>
      <c r="D976" s="2">
        <v>2000</v>
      </c>
      <c r="E976" s="1">
        <v>42705</v>
      </c>
      <c r="F976" t="s">
        <v>18</v>
      </c>
      <c r="G976" t="s">
        <v>13</v>
      </c>
      <c r="H976" t="str">
        <f>"2016132"</f>
        <v>2016132</v>
      </c>
      <c r="I976" t="str">
        <f>"THE LAW OFFICE OF TOM CALDWELL"</f>
        <v>THE LAW OFFICE OF TOM CALDWELL</v>
      </c>
      <c r="J976" s="2">
        <v>2000</v>
      </c>
    </row>
    <row r="977" spans="1:10" ht="15">
      <c r="A977" t="s">
        <v>256</v>
      </c>
      <c r="B977" t="s">
        <v>11</v>
      </c>
      <c r="C977">
        <v>53054</v>
      </c>
      <c r="D977" s="2">
        <v>3600</v>
      </c>
      <c r="E977" s="1">
        <v>42705</v>
      </c>
      <c r="F977" t="s">
        <v>18</v>
      </c>
      <c r="G977" t="s">
        <v>13</v>
      </c>
      <c r="H977" t="str">
        <f>"201612017827"</f>
        <v>201612017827</v>
      </c>
      <c r="I977" t="s">
        <v>318</v>
      </c>
      <c r="J977" s="2">
        <v>2000</v>
      </c>
    </row>
    <row r="978" spans="7:10" ht="15">
      <c r="G978" t="s">
        <v>13</v>
      </c>
      <c r="H978" t="str">
        <f>"HOL EXTR"</f>
        <v>HOL EXTR</v>
      </c>
      <c r="I978" t="str">
        <f>"NICK SILVA"</f>
        <v>NICK SILVA</v>
      </c>
      <c r="J978" s="2">
        <v>1600</v>
      </c>
    </row>
    <row r="979" spans="1:10" ht="15">
      <c r="A979" t="s">
        <v>79</v>
      </c>
      <c r="B979" t="s">
        <v>11</v>
      </c>
      <c r="C979">
        <v>53055</v>
      </c>
      <c r="D979" s="2">
        <v>925</v>
      </c>
      <c r="E979" s="1">
        <v>42705</v>
      </c>
      <c r="F979" t="s">
        <v>18</v>
      </c>
      <c r="G979" t="s">
        <v>13</v>
      </c>
      <c r="H979" t="str">
        <f>"155948"</f>
        <v>155948</v>
      </c>
      <c r="I979" t="str">
        <f>"APPRIVER"</f>
        <v>APPRIVER</v>
      </c>
      <c r="J979" s="2">
        <v>925</v>
      </c>
    </row>
    <row r="980" spans="1:10" ht="15">
      <c r="A980" t="s">
        <v>215</v>
      </c>
      <c r="B980" t="s">
        <v>11</v>
      </c>
      <c r="C980">
        <v>53056</v>
      </c>
      <c r="D980" s="2">
        <v>5901</v>
      </c>
      <c r="E980" s="1">
        <v>42705</v>
      </c>
      <c r="F980" t="s">
        <v>18</v>
      </c>
      <c r="G980" t="s">
        <v>13</v>
      </c>
      <c r="H980" t="str">
        <f>"201612017826"</f>
        <v>201612017826</v>
      </c>
      <c r="I980" t="str">
        <f>"LJ PLUMBING"</f>
        <v>LJ PLUMBING</v>
      </c>
      <c r="J980" s="2">
        <v>5901</v>
      </c>
    </row>
    <row r="981" spans="1:10" ht="15">
      <c r="A981" t="s">
        <v>257</v>
      </c>
      <c r="B981" t="s">
        <v>11</v>
      </c>
      <c r="C981">
        <v>53117</v>
      </c>
      <c r="D981" s="2">
        <v>800</v>
      </c>
      <c r="E981" s="1">
        <v>42709</v>
      </c>
      <c r="F981" t="s">
        <v>18</v>
      </c>
      <c r="G981" t="s">
        <v>13</v>
      </c>
      <c r="H981" t="str">
        <f>"HOLIDAY EXTR"</f>
        <v>HOLIDAY EXTR</v>
      </c>
      <c r="I981" t="str">
        <f>"BAND HOL EXT"</f>
        <v>BAND HOL EXT</v>
      </c>
      <c r="J981" s="2">
        <v>800</v>
      </c>
    </row>
    <row r="982" spans="1:10" ht="15">
      <c r="A982" t="s">
        <v>17</v>
      </c>
      <c r="B982" t="s">
        <v>11</v>
      </c>
      <c r="C982">
        <v>53118</v>
      </c>
      <c r="D982" s="2">
        <v>280</v>
      </c>
      <c r="E982" s="1">
        <v>42709</v>
      </c>
      <c r="F982" t="s">
        <v>18</v>
      </c>
      <c r="G982" t="s">
        <v>13</v>
      </c>
      <c r="H982" t="str">
        <f>"SECURITY H.E."</f>
        <v>SECURITY H.E.</v>
      </c>
      <c r="I982" t="str">
        <f>"SECURITY HOL EXT"</f>
        <v>SECURITY HOL EXT</v>
      </c>
      <c r="J982" s="2">
        <v>280</v>
      </c>
    </row>
    <row r="983" spans="1:10" ht="15">
      <c r="A983" t="s">
        <v>258</v>
      </c>
      <c r="B983" t="s">
        <v>11</v>
      </c>
      <c r="C983">
        <v>53119</v>
      </c>
      <c r="D983" s="2">
        <v>280</v>
      </c>
      <c r="E983" s="1">
        <v>42709</v>
      </c>
      <c r="F983" t="s">
        <v>18</v>
      </c>
      <c r="G983" t="s">
        <v>13</v>
      </c>
      <c r="H983" t="str">
        <f>"SECURITY H.E. 2016"</f>
        <v>SECURITY H.E. 2016</v>
      </c>
      <c r="I983" t="str">
        <f>"SECURITY HOL EX"</f>
        <v>SECURITY HOL EX</v>
      </c>
      <c r="J983" s="2">
        <v>280</v>
      </c>
    </row>
    <row r="984" spans="1:10" ht="15">
      <c r="A984" t="s">
        <v>259</v>
      </c>
      <c r="B984" t="s">
        <v>11</v>
      </c>
      <c r="C984">
        <v>53120</v>
      </c>
      <c r="D984" s="2">
        <v>280</v>
      </c>
      <c r="E984" s="1">
        <v>42709</v>
      </c>
      <c r="F984" t="s">
        <v>15</v>
      </c>
      <c r="G984" t="s">
        <v>13</v>
      </c>
      <c r="H984" t="str">
        <f>"SECURITY HOL EXT"</f>
        <v>SECURITY HOL EXT</v>
      </c>
      <c r="I984" t="str">
        <f>"SECURITY H.E."</f>
        <v>SECURITY H.E.</v>
      </c>
      <c r="J984" s="2">
        <v>280</v>
      </c>
    </row>
    <row r="985" spans="1:10" ht="15">
      <c r="A985" t="s">
        <v>260</v>
      </c>
      <c r="B985" t="s">
        <v>11</v>
      </c>
      <c r="C985">
        <v>53120</v>
      </c>
      <c r="D985" s="2">
        <v>280</v>
      </c>
      <c r="E985" s="1">
        <v>42709</v>
      </c>
      <c r="F985" t="s">
        <v>15</v>
      </c>
      <c r="G985" t="s">
        <v>16</v>
      </c>
      <c r="H985" t="str">
        <f>"CHECK"</f>
        <v>CHECK</v>
      </c>
      <c r="I985">
        <f>""</f>
      </c>
      <c r="J985" s="2">
        <v>280</v>
      </c>
    </row>
    <row r="986" spans="1:10" ht="15">
      <c r="A986" t="s">
        <v>19</v>
      </c>
      <c r="B986" t="s">
        <v>11</v>
      </c>
      <c r="C986">
        <v>53121</v>
      </c>
      <c r="D986" s="2">
        <v>280</v>
      </c>
      <c r="E986" s="1">
        <v>42709</v>
      </c>
      <c r="F986" t="s">
        <v>18</v>
      </c>
      <c r="G986" t="s">
        <v>13</v>
      </c>
      <c r="H986" t="str">
        <f>"SECURITY H.E."</f>
        <v>SECURITY H.E.</v>
      </c>
      <c r="I986" t="str">
        <f>"LORENZO HERRERA"</f>
        <v>LORENZO HERRERA</v>
      </c>
      <c r="J986" s="2">
        <v>280</v>
      </c>
    </row>
    <row r="987" spans="1:10" ht="15">
      <c r="A987" t="s">
        <v>261</v>
      </c>
      <c r="B987" t="s">
        <v>11</v>
      </c>
      <c r="C987">
        <v>53122</v>
      </c>
      <c r="D987" s="2">
        <v>280</v>
      </c>
      <c r="E987" s="1">
        <v>42709</v>
      </c>
      <c r="F987" t="s">
        <v>18</v>
      </c>
      <c r="G987" t="s">
        <v>13</v>
      </c>
      <c r="H987" t="str">
        <f>"SECURITY H.E."</f>
        <v>SECURITY H.E.</v>
      </c>
      <c r="I987" t="str">
        <f>"GEORGE ORTIZ"</f>
        <v>GEORGE ORTIZ</v>
      </c>
      <c r="J987" s="2">
        <v>280</v>
      </c>
    </row>
    <row r="988" spans="1:10" ht="15">
      <c r="A988" t="s">
        <v>221</v>
      </c>
      <c r="B988" t="s">
        <v>11</v>
      </c>
      <c r="C988">
        <v>53123</v>
      </c>
      <c r="D988" s="2">
        <v>2710.5</v>
      </c>
      <c r="E988" s="1">
        <v>42709</v>
      </c>
      <c r="F988" t="s">
        <v>18</v>
      </c>
      <c r="G988" t="s">
        <v>13</v>
      </c>
      <c r="H988" t="str">
        <f>"201612057831"</f>
        <v>201612057831</v>
      </c>
      <c r="I988" t="str">
        <f>"SILVER EAGLE DISTRIBUTORS"</f>
        <v>SILVER EAGLE DISTRIBUTORS</v>
      </c>
      <c r="J988" s="2">
        <v>2710.5</v>
      </c>
    </row>
    <row r="989" spans="1:10" ht="15">
      <c r="A989" t="s">
        <v>217</v>
      </c>
      <c r="B989" t="s">
        <v>11</v>
      </c>
      <c r="C989">
        <v>53124</v>
      </c>
      <c r="D989" s="2">
        <v>1188</v>
      </c>
      <c r="E989" s="1">
        <v>42709</v>
      </c>
      <c r="F989" t="s">
        <v>18</v>
      </c>
      <c r="G989" t="s">
        <v>13</v>
      </c>
      <c r="H989" t="str">
        <f>"201612057830"</f>
        <v>201612057830</v>
      </c>
      <c r="I989" t="str">
        <f>"GLI DISTRIBUTING"</f>
        <v>GLI DISTRIBUTING</v>
      </c>
      <c r="J989" s="2">
        <v>1188</v>
      </c>
    </row>
    <row r="990" spans="1:10" ht="15">
      <c r="A990" t="s">
        <v>262</v>
      </c>
      <c r="B990" t="s">
        <v>11</v>
      </c>
      <c r="C990">
        <v>53125</v>
      </c>
      <c r="D990" s="2">
        <v>2000</v>
      </c>
      <c r="E990" s="1">
        <v>42709</v>
      </c>
      <c r="F990" t="s">
        <v>18</v>
      </c>
      <c r="G990" t="s">
        <v>13</v>
      </c>
      <c r="H990" t="str">
        <f>"HOLIDAY EXTR"</f>
        <v>HOLIDAY EXTR</v>
      </c>
      <c r="I990" t="str">
        <f>"DAVID FARIAS"</f>
        <v>DAVID FARIAS</v>
      </c>
      <c r="J990" s="2">
        <v>2000</v>
      </c>
    </row>
    <row r="991" spans="1:10" ht="15">
      <c r="A991" t="s">
        <v>263</v>
      </c>
      <c r="B991" t="s">
        <v>11</v>
      </c>
      <c r="C991">
        <v>53126</v>
      </c>
      <c r="D991" s="2">
        <v>1500</v>
      </c>
      <c r="E991" s="1">
        <v>42709</v>
      </c>
      <c r="F991" t="s">
        <v>18</v>
      </c>
      <c r="G991" t="s">
        <v>13</v>
      </c>
      <c r="H991" t="str">
        <f>"20161115"</f>
        <v>20161115</v>
      </c>
      <c r="I991" t="str">
        <f>"CLARO COMMUNICATIONS LTD"</f>
        <v>CLARO COMMUNICATIONS LTD</v>
      </c>
      <c r="J991" s="2">
        <v>1500</v>
      </c>
    </row>
    <row r="992" spans="1:10" ht="15">
      <c r="A992" t="s">
        <v>264</v>
      </c>
      <c r="B992" t="s">
        <v>11</v>
      </c>
      <c r="C992">
        <v>53127</v>
      </c>
      <c r="D992" s="2">
        <v>1200</v>
      </c>
      <c r="E992" s="1">
        <v>42709</v>
      </c>
      <c r="F992" t="s">
        <v>18</v>
      </c>
      <c r="G992" t="s">
        <v>13</v>
      </c>
      <c r="H992" t="str">
        <f>"HOL EXT"</f>
        <v>HOL EXT</v>
      </c>
      <c r="I992" t="str">
        <f>"JESSE CASTRO"</f>
        <v>JESSE CASTRO</v>
      </c>
      <c r="J992" s="2">
        <v>1200</v>
      </c>
    </row>
    <row r="993" spans="1:10" ht="15">
      <c r="A993" t="s">
        <v>265</v>
      </c>
      <c r="B993" t="s">
        <v>11</v>
      </c>
      <c r="C993">
        <v>53128</v>
      </c>
      <c r="D993" s="2">
        <v>3150</v>
      </c>
      <c r="E993" s="1">
        <v>42709</v>
      </c>
      <c r="F993" t="s">
        <v>18</v>
      </c>
      <c r="G993" t="s">
        <v>13</v>
      </c>
      <c r="H993" t="str">
        <f>"121016-V"</f>
        <v>121016-V</v>
      </c>
      <c r="I993" t="str">
        <f>"VIDA ENT. / JOHN VILLANUEVA"</f>
        <v>VIDA ENT. / JOHN VILLANUEVA</v>
      </c>
      <c r="J993" s="2">
        <v>3150</v>
      </c>
    </row>
    <row r="994" spans="1:10" ht="15">
      <c r="A994" t="s">
        <v>266</v>
      </c>
      <c r="B994" t="s">
        <v>11</v>
      </c>
      <c r="C994">
        <v>53129</v>
      </c>
      <c r="D994" s="2">
        <v>2849</v>
      </c>
      <c r="E994" s="1">
        <v>42709</v>
      </c>
      <c r="F994" t="s">
        <v>18</v>
      </c>
      <c r="G994" t="s">
        <v>13</v>
      </c>
      <c r="H994" t="str">
        <f>"121016"</f>
        <v>121016</v>
      </c>
      <c r="I994" t="str">
        <f>"BILL ANGELINI ENTERPRISES"</f>
        <v>BILL ANGELINI ENTERPRISES</v>
      </c>
      <c r="J994" s="2">
        <v>2099</v>
      </c>
    </row>
    <row r="995" spans="7:10" ht="15">
      <c r="G995" t="s">
        <v>13</v>
      </c>
      <c r="H995" t="str">
        <f>"121016-2"</f>
        <v>121016-2</v>
      </c>
      <c r="I995" t="str">
        <f>"BILL ANGELINI ENTERPRISES"</f>
        <v>BILL ANGELINI ENTERPRISES</v>
      </c>
      <c r="J995" s="2">
        <v>750</v>
      </c>
    </row>
    <row r="996" spans="1:10" ht="15">
      <c r="A996" t="s">
        <v>29</v>
      </c>
      <c r="B996" t="s">
        <v>11</v>
      </c>
      <c r="C996">
        <v>53130</v>
      </c>
      <c r="D996" s="2">
        <v>290.9</v>
      </c>
      <c r="E996" s="1">
        <v>42711</v>
      </c>
      <c r="F996" t="s">
        <v>18</v>
      </c>
      <c r="G996" t="s">
        <v>13</v>
      </c>
      <c r="H996" t="str">
        <f>"CLE201612057829"</f>
        <v>CLE201612057829</v>
      </c>
      <c r="I996" t="str">
        <f>"CLEAT ONLY DUES"</f>
        <v>CLEAT ONLY DUES</v>
      </c>
      <c r="J996" s="2">
        <v>13.85</v>
      </c>
    </row>
    <row r="997" spans="7:10" ht="15">
      <c r="G997" t="s">
        <v>13</v>
      </c>
      <c r="H997" t="str">
        <f>"PDD201612057829"</f>
        <v>PDD201612057829</v>
      </c>
      <c r="I997" t="str">
        <f>"POLICE OFFICERS ASSOC DUES"</f>
        <v>POLICE OFFICERS ASSOC DUES</v>
      </c>
      <c r="J997" s="2">
        <v>277.05</v>
      </c>
    </row>
    <row r="998" spans="1:10" ht="15">
      <c r="A998" t="s">
        <v>30</v>
      </c>
      <c r="B998" t="s">
        <v>11</v>
      </c>
      <c r="C998">
        <v>53131</v>
      </c>
      <c r="D998" s="2">
        <v>1200.46</v>
      </c>
      <c r="E998" s="1">
        <v>42711</v>
      </c>
      <c r="F998" t="s">
        <v>18</v>
      </c>
      <c r="G998" t="s">
        <v>13</v>
      </c>
      <c r="H998" t="str">
        <f>"CPS201612057829"</f>
        <v>CPS201612057829</v>
      </c>
      <c r="I998" t="str">
        <f>"G MENDOZA 00123012032010EM5054"</f>
        <v>G MENDOZA 00123012032010EM5054</v>
      </c>
      <c r="J998" s="2">
        <v>11.54</v>
      </c>
    </row>
    <row r="999" spans="7:10" ht="15">
      <c r="G999" t="s">
        <v>13</v>
      </c>
      <c r="H999" t="str">
        <f>"CS 201612057829"</f>
        <v>CS 201612057829</v>
      </c>
      <c r="I999" t="str">
        <f>"CAUSE#98EM504113 PEGGY RIVAS"</f>
        <v>CAUSE#98EM504113 PEGGY RIVAS</v>
      </c>
      <c r="J999" s="2">
        <v>294.46</v>
      </c>
    </row>
    <row r="1000" spans="7:10" ht="15">
      <c r="G1000" t="s">
        <v>13</v>
      </c>
      <c r="H1000" t="str">
        <f>"CS1201612057829"</f>
        <v>CS1201612057829</v>
      </c>
      <c r="I1000" t="str">
        <f>"CAUSE# 10008CVW DEBRA ESQUEDA"</f>
        <v>CAUSE# 10008CVW DEBRA ESQUEDA</v>
      </c>
      <c r="J1000" s="2">
        <v>234.46</v>
      </c>
    </row>
    <row r="1001" spans="7:10" ht="15">
      <c r="G1001" t="s">
        <v>13</v>
      </c>
      <c r="H1001" t="str">
        <f>"CSJ201612057829"</f>
        <v>CSJ201612057829</v>
      </c>
      <c r="I1001" t="str">
        <f>"CAUSE# 0010185272 MARIANN GUTI"</f>
        <v>CAUSE# 0010185272 MARIANN GUTI</v>
      </c>
      <c r="J1001" s="2">
        <v>325.38</v>
      </c>
    </row>
    <row r="1002" spans="7:10" ht="15">
      <c r="G1002" t="s">
        <v>13</v>
      </c>
      <c r="H1002" t="str">
        <f>"CST201612057829"</f>
        <v>CST201612057829</v>
      </c>
      <c r="I1002" t="str">
        <f>"CAUSE #0009418917 SONIA PEREZ"</f>
        <v>CAUSE #0009418917 SONIA PEREZ</v>
      </c>
      <c r="J1002" s="2">
        <v>334.62</v>
      </c>
    </row>
    <row r="1003" spans="1:10" ht="15">
      <c r="A1003" t="s">
        <v>32</v>
      </c>
      <c r="B1003" t="s">
        <v>11</v>
      </c>
      <c r="C1003">
        <v>53132</v>
      </c>
      <c r="D1003" s="2">
        <v>99.1</v>
      </c>
      <c r="E1003" s="1">
        <v>42711</v>
      </c>
      <c r="F1003" t="s">
        <v>18</v>
      </c>
      <c r="G1003" t="s">
        <v>13</v>
      </c>
      <c r="H1003" t="str">
        <f>"MCO201612057829"</f>
        <v>MCO201612057829</v>
      </c>
      <c r="I1003" t="s">
        <v>313</v>
      </c>
      <c r="J1003" s="2">
        <v>99.1</v>
      </c>
    </row>
    <row r="1004" spans="1:10" ht="15">
      <c r="A1004" t="s">
        <v>33</v>
      </c>
      <c r="B1004" t="s">
        <v>11</v>
      </c>
      <c r="C1004">
        <v>53133</v>
      </c>
      <c r="D1004" s="2">
        <v>649</v>
      </c>
      <c r="E1004" s="1">
        <v>42711</v>
      </c>
      <c r="F1004" t="s">
        <v>18</v>
      </c>
      <c r="G1004" t="s">
        <v>13</v>
      </c>
      <c r="H1004" t="str">
        <f>"457201612057829"</f>
        <v>457201612057829</v>
      </c>
      <c r="I1004" t="str">
        <f>"CASE # 180-60751 457B DEDUCT"</f>
        <v>CASE # 180-60751 457B DEDUCT</v>
      </c>
      <c r="J1004" s="2">
        <v>649</v>
      </c>
    </row>
    <row r="1005" spans="1:10" ht="15">
      <c r="A1005" t="s">
        <v>21</v>
      </c>
      <c r="B1005" t="s">
        <v>11</v>
      </c>
      <c r="C1005">
        <v>53135</v>
      </c>
      <c r="D1005" s="2">
        <v>2704.32</v>
      </c>
      <c r="E1005" s="1">
        <v>42711</v>
      </c>
      <c r="F1005" t="s">
        <v>18</v>
      </c>
      <c r="G1005" t="s">
        <v>267</v>
      </c>
      <c r="H1005" t="str">
        <f>"12/01/2016"</f>
        <v>12/01/2016</v>
      </c>
      <c r="I1005" t="str">
        <f>"AFLAC"</f>
        <v>AFLAC</v>
      </c>
      <c r="J1005" s="2">
        <v>-731.46</v>
      </c>
    </row>
    <row r="1006" spans="7:10" ht="15">
      <c r="G1006" t="s">
        <v>13</v>
      </c>
      <c r="H1006" t="str">
        <f>"ACA201611087771"</f>
        <v>ACA201611087771</v>
      </c>
      <c r="I1006" t="str">
        <f aca="true" t="shared" si="25" ref="I1006:I1011">"AFLAC INSURANCE"</f>
        <v>AFLAC INSURANCE</v>
      </c>
      <c r="J1006" s="2">
        <v>128.14</v>
      </c>
    </row>
    <row r="1007" spans="7:10" ht="15">
      <c r="G1007" t="s">
        <v>13</v>
      </c>
      <c r="H1007" t="str">
        <f>"ACA201611217793"</f>
        <v>ACA201611217793</v>
      </c>
      <c r="I1007" t="str">
        <f t="shared" si="25"/>
        <v>AFLAC INSURANCE</v>
      </c>
      <c r="J1007" s="2">
        <v>128.14</v>
      </c>
    </row>
    <row r="1008" spans="7:10" ht="15">
      <c r="G1008" t="s">
        <v>13</v>
      </c>
      <c r="H1008" t="str">
        <f>"ACA201612057829"</f>
        <v>ACA201612057829</v>
      </c>
      <c r="I1008" t="str">
        <f t="shared" si="25"/>
        <v>AFLAC INSURANCE</v>
      </c>
      <c r="J1008" s="2">
        <v>128.14</v>
      </c>
    </row>
    <row r="1009" spans="7:10" ht="15">
      <c r="G1009" t="s">
        <v>13</v>
      </c>
      <c r="H1009" t="str">
        <f>"AD2201611087771"</f>
        <v>AD2201611087771</v>
      </c>
      <c r="I1009" t="str">
        <f t="shared" si="25"/>
        <v>AFLAC INSURANCE</v>
      </c>
      <c r="J1009" s="2">
        <v>93.78</v>
      </c>
    </row>
    <row r="1010" spans="7:10" ht="15">
      <c r="G1010" t="s">
        <v>13</v>
      </c>
      <c r="H1010" t="str">
        <f>"AD2201611217793"</f>
        <v>AD2201611217793</v>
      </c>
      <c r="I1010" t="str">
        <f t="shared" si="25"/>
        <v>AFLAC INSURANCE</v>
      </c>
      <c r="J1010" s="2">
        <v>93.78</v>
      </c>
    </row>
    <row r="1011" spans="7:10" ht="15">
      <c r="G1011" t="s">
        <v>13</v>
      </c>
      <c r="H1011" t="str">
        <f>"AD2201612057829"</f>
        <v>AD2201612057829</v>
      </c>
      <c r="I1011" t="str">
        <f t="shared" si="25"/>
        <v>AFLAC INSURANCE</v>
      </c>
      <c r="J1011" s="2">
        <v>93.78</v>
      </c>
    </row>
    <row r="1012" spans="7:10" ht="15">
      <c r="G1012" t="s">
        <v>13</v>
      </c>
      <c r="H1012" t="str">
        <f>"ADR201611087771"</f>
        <v>ADR201611087771</v>
      </c>
      <c r="I1012" t="str">
        <f>"INSURANCE"</f>
        <v>INSURANCE</v>
      </c>
      <c r="J1012" s="2">
        <v>14.46</v>
      </c>
    </row>
    <row r="1013" spans="7:10" ht="15">
      <c r="G1013" t="s">
        <v>13</v>
      </c>
      <c r="H1013" t="str">
        <f>"ADR201611217793"</f>
        <v>ADR201611217793</v>
      </c>
      <c r="I1013" t="str">
        <f>"INSURANCE"</f>
        <v>INSURANCE</v>
      </c>
      <c r="J1013" s="2">
        <v>14.46</v>
      </c>
    </row>
    <row r="1014" spans="7:10" ht="15">
      <c r="G1014" t="s">
        <v>13</v>
      </c>
      <c r="H1014" t="str">
        <f>"ADR201612057829"</f>
        <v>ADR201612057829</v>
      </c>
      <c r="I1014" t="str">
        <f>"INSURANCE"</f>
        <v>INSURANCE</v>
      </c>
      <c r="J1014" s="2">
        <v>14.46</v>
      </c>
    </row>
    <row r="1015" spans="7:10" ht="15">
      <c r="G1015" t="s">
        <v>13</v>
      </c>
      <c r="H1015" t="str">
        <f>"AF1201611087771"</f>
        <v>AF1201611087771</v>
      </c>
      <c r="I1015" t="str">
        <f aca="true" t="shared" si="26" ref="I1015:I1023">"AFLAC INSURANCE"</f>
        <v>AFLAC INSURANCE</v>
      </c>
      <c r="J1015" s="2">
        <v>570.76</v>
      </c>
    </row>
    <row r="1016" spans="7:10" ht="15">
      <c r="G1016" t="s">
        <v>13</v>
      </c>
      <c r="H1016" t="str">
        <f>"AF1201611217793"</f>
        <v>AF1201611217793</v>
      </c>
      <c r="I1016" t="str">
        <f t="shared" si="26"/>
        <v>AFLAC INSURANCE</v>
      </c>
      <c r="J1016" s="2">
        <v>558.52</v>
      </c>
    </row>
    <row r="1017" spans="7:10" ht="15">
      <c r="G1017" t="s">
        <v>13</v>
      </c>
      <c r="H1017" t="str">
        <f>"AF1201612057829"</f>
        <v>AF1201612057829</v>
      </c>
      <c r="I1017" t="str">
        <f t="shared" si="26"/>
        <v>AFLAC INSURANCE</v>
      </c>
      <c r="J1017" s="2">
        <v>544.24</v>
      </c>
    </row>
    <row r="1018" spans="7:10" ht="15">
      <c r="G1018" t="s">
        <v>13</v>
      </c>
      <c r="H1018" t="str">
        <f>"ASP201611087771"</f>
        <v>ASP201611087771</v>
      </c>
      <c r="I1018" t="str">
        <f t="shared" si="26"/>
        <v>AFLAC INSURANCE</v>
      </c>
      <c r="J1018" s="2">
        <v>82.24</v>
      </c>
    </row>
    <row r="1019" spans="7:10" ht="15">
      <c r="G1019" t="s">
        <v>13</v>
      </c>
      <c r="H1019" t="str">
        <f>"ASP201611217793"</f>
        <v>ASP201611217793</v>
      </c>
      <c r="I1019" t="str">
        <f t="shared" si="26"/>
        <v>AFLAC INSURANCE</v>
      </c>
      <c r="J1019" s="2">
        <v>82.24</v>
      </c>
    </row>
    <row r="1020" spans="7:10" ht="15">
      <c r="G1020" t="s">
        <v>13</v>
      </c>
      <c r="H1020" t="str">
        <f>"ASP201612057829"</f>
        <v>ASP201612057829</v>
      </c>
      <c r="I1020" t="str">
        <f t="shared" si="26"/>
        <v>AFLAC INSURANCE</v>
      </c>
      <c r="J1020" s="2">
        <v>82.24</v>
      </c>
    </row>
    <row r="1021" spans="7:10" ht="15">
      <c r="G1021" t="s">
        <v>13</v>
      </c>
      <c r="H1021" t="str">
        <f>"HCO201611087771"</f>
        <v>HCO201611087771</v>
      </c>
      <c r="I1021" t="str">
        <f t="shared" si="26"/>
        <v>AFLAC INSURANCE</v>
      </c>
      <c r="J1021" s="2">
        <v>132.24</v>
      </c>
    </row>
    <row r="1022" spans="7:10" ht="15">
      <c r="G1022" t="s">
        <v>13</v>
      </c>
      <c r="H1022" t="str">
        <f>"HCO201611217793"</f>
        <v>HCO201611217793</v>
      </c>
      <c r="I1022" t="str">
        <f t="shared" si="26"/>
        <v>AFLAC INSURANCE</v>
      </c>
      <c r="J1022" s="2">
        <v>132.24</v>
      </c>
    </row>
    <row r="1023" spans="7:10" ht="15">
      <c r="G1023" t="s">
        <v>13</v>
      </c>
      <c r="H1023" t="str">
        <f>"HCO201612057829"</f>
        <v>HCO201612057829</v>
      </c>
      <c r="I1023" t="str">
        <f t="shared" si="26"/>
        <v>AFLAC INSURANCE</v>
      </c>
      <c r="J1023" s="2">
        <v>132.24</v>
      </c>
    </row>
    <row r="1024" spans="7:10" ht="15">
      <c r="G1024" t="s">
        <v>13</v>
      </c>
      <c r="H1024" t="str">
        <f>"STD201611087771"</f>
        <v>STD201611087771</v>
      </c>
      <c r="I1024" t="str">
        <f>"INSURANCE"</f>
        <v>INSURANCE</v>
      </c>
      <c r="J1024" s="2">
        <v>136.56</v>
      </c>
    </row>
    <row r="1025" spans="7:10" ht="15">
      <c r="G1025" t="s">
        <v>13</v>
      </c>
      <c r="H1025" t="str">
        <f>"STD201611217793"</f>
        <v>STD201611217793</v>
      </c>
      <c r="I1025" t="str">
        <f>"INSURANCE"</f>
        <v>INSURANCE</v>
      </c>
      <c r="J1025" s="2">
        <v>136.56</v>
      </c>
    </row>
    <row r="1026" spans="7:10" ht="15">
      <c r="G1026" t="s">
        <v>13</v>
      </c>
      <c r="H1026" t="str">
        <f>"STD201612057829"</f>
        <v>STD201612057829</v>
      </c>
      <c r="I1026" t="str">
        <f>"INSURANCE"</f>
        <v>INSURANCE</v>
      </c>
      <c r="J1026" s="2">
        <v>136.56</v>
      </c>
    </row>
    <row r="1027" spans="1:10" ht="15">
      <c r="A1027" t="s">
        <v>23</v>
      </c>
      <c r="B1027" t="s">
        <v>11</v>
      </c>
      <c r="C1027">
        <v>53139</v>
      </c>
      <c r="D1027" s="2">
        <v>35012.87</v>
      </c>
      <c r="E1027" s="1">
        <v>42711</v>
      </c>
      <c r="F1027" t="s">
        <v>18</v>
      </c>
      <c r="G1027" t="s">
        <v>267</v>
      </c>
      <c r="H1027" t="str">
        <f>"12/1/2016"</f>
        <v>12/1/2016</v>
      </c>
      <c r="I1027" t="str">
        <f>"TEXAS MUNICIPAL RETIREMENT SYS"</f>
        <v>TEXAS MUNICIPAL RETIREMENT SYS</v>
      </c>
      <c r="J1027" s="2">
        <v>-18020.09</v>
      </c>
    </row>
    <row r="1028" spans="7:10" ht="15">
      <c r="G1028" t="s">
        <v>13</v>
      </c>
      <c r="H1028" t="str">
        <f>"RET201611087771"</f>
        <v>RET201611087771</v>
      </c>
      <c r="I1028" t="str">
        <f>"TMRS CITY OF FLORESVILLE"</f>
        <v>TMRS CITY OF FLORESVILLE</v>
      </c>
      <c r="J1028" s="2">
        <v>17171.13</v>
      </c>
    </row>
    <row r="1029" spans="7:10" ht="15">
      <c r="G1029" t="s">
        <v>13</v>
      </c>
      <c r="H1029" t="str">
        <f>"RET201611217793"</f>
        <v>RET201611217793</v>
      </c>
      <c r="I1029" t="str">
        <f>"TMRS CITY OF FLORESVILLE"</f>
        <v>TMRS CITY OF FLORESVILLE</v>
      </c>
      <c r="J1029" s="2">
        <v>17841.74</v>
      </c>
    </row>
    <row r="1030" spans="7:10" ht="15">
      <c r="G1030" t="s">
        <v>13</v>
      </c>
      <c r="H1030" t="str">
        <f>"RET201612057829"</f>
        <v>RET201612057829</v>
      </c>
      <c r="I1030" t="str">
        <f>"TMRS CITY OF FLORESVILLE"</f>
        <v>TMRS CITY OF FLORESVILLE</v>
      </c>
      <c r="J1030" s="2">
        <v>17903.31</v>
      </c>
    </row>
    <row r="1031" spans="7:10" ht="15">
      <c r="G1031" t="s">
        <v>13</v>
      </c>
      <c r="H1031" t="str">
        <f>"RET201612077832"</f>
        <v>RET201612077832</v>
      </c>
      <c r="I1031" t="str">
        <f>"TMRS CITY OF FLORESVILLE"</f>
        <v>TMRS CITY OF FLORESVILLE</v>
      </c>
      <c r="J1031" s="2">
        <v>116.78</v>
      </c>
    </row>
    <row r="1032" spans="1:10" ht="15">
      <c r="A1032" t="s">
        <v>25</v>
      </c>
      <c r="B1032" t="s">
        <v>11</v>
      </c>
      <c r="C1032">
        <v>53144</v>
      </c>
      <c r="D1032" s="2">
        <v>113.2</v>
      </c>
      <c r="E1032" s="1">
        <v>42711</v>
      </c>
      <c r="F1032" t="s">
        <v>18</v>
      </c>
      <c r="G1032" t="s">
        <v>22</v>
      </c>
      <c r="H1032" t="str">
        <f>"12/1/2016"</f>
        <v>12/1/2016</v>
      </c>
      <c r="I1032" t="str">
        <f>"LEGAL PLANS"</f>
        <v>LEGAL PLANS</v>
      </c>
      <c r="J1032" s="2">
        <v>2.86</v>
      </c>
    </row>
    <row r="1033" spans="7:10" ht="15">
      <c r="G1033" t="s">
        <v>13</v>
      </c>
      <c r="H1033" t="str">
        <f>"LEA201611087771"</f>
        <v>LEA201611087771</v>
      </c>
      <c r="I1033" t="str">
        <f>"INSURANCE"</f>
        <v>INSURANCE</v>
      </c>
      <c r="J1033" s="2">
        <v>36.78</v>
      </c>
    </row>
    <row r="1034" spans="7:10" ht="15">
      <c r="G1034" t="s">
        <v>13</v>
      </c>
      <c r="H1034" t="str">
        <f>"LEA201611217793"</f>
        <v>LEA201611217793</v>
      </c>
      <c r="I1034" t="str">
        <f>"INSURANCE"</f>
        <v>INSURANCE</v>
      </c>
      <c r="J1034" s="2">
        <v>36.78</v>
      </c>
    </row>
    <row r="1035" spans="7:10" ht="15">
      <c r="G1035" t="s">
        <v>13</v>
      </c>
      <c r="H1035" t="str">
        <f>"LEA201612057829"</f>
        <v>LEA201612057829</v>
      </c>
      <c r="I1035" t="str">
        <f>"INSURANCE"</f>
        <v>INSURANCE</v>
      </c>
      <c r="J1035" s="2">
        <v>36.78</v>
      </c>
    </row>
    <row r="1036" spans="1:10" ht="15">
      <c r="A1036" t="s">
        <v>26</v>
      </c>
      <c r="B1036" t="s">
        <v>11</v>
      </c>
      <c r="C1036">
        <v>53145</v>
      </c>
      <c r="D1036" s="2">
        <v>309.85</v>
      </c>
      <c r="E1036" s="1">
        <v>42711</v>
      </c>
      <c r="F1036" t="s">
        <v>18</v>
      </c>
      <c r="G1036" t="s">
        <v>267</v>
      </c>
      <c r="H1036" t="str">
        <f>"12/1/2016"</f>
        <v>12/1/2016</v>
      </c>
      <c r="I1036" t="str">
        <f>"LEGALSHIELD"</f>
        <v>LEGALSHIELD</v>
      </c>
      <c r="J1036" s="2">
        <v>-107.09</v>
      </c>
    </row>
    <row r="1037" spans="7:10" ht="15">
      <c r="G1037" t="s">
        <v>13</v>
      </c>
      <c r="H1037" t="str">
        <f>"PPL201611087771"</f>
        <v>PPL201611087771</v>
      </c>
      <c r="I1037" t="str">
        <f>"INSURANCE"</f>
        <v>INSURANCE</v>
      </c>
      <c r="J1037" s="2">
        <v>138.98</v>
      </c>
    </row>
    <row r="1038" spans="7:10" ht="15">
      <c r="G1038" t="s">
        <v>13</v>
      </c>
      <c r="H1038" t="str">
        <f>"PPL201611217793"</f>
        <v>PPL201611217793</v>
      </c>
      <c r="I1038" t="str">
        <f>"INSURANCE"</f>
        <v>INSURANCE</v>
      </c>
      <c r="J1038" s="2">
        <v>138.98</v>
      </c>
    </row>
    <row r="1039" spans="7:10" ht="15">
      <c r="G1039" t="s">
        <v>13</v>
      </c>
      <c r="H1039" t="str">
        <f>"PPL201612057829"</f>
        <v>PPL201612057829</v>
      </c>
      <c r="I1039" t="str">
        <f>"INSURANCE"</f>
        <v>INSURANCE</v>
      </c>
      <c r="J1039" s="2">
        <v>138.98</v>
      </c>
    </row>
    <row r="1040" spans="1:10" ht="15">
      <c r="A1040" t="s">
        <v>27</v>
      </c>
      <c r="B1040" t="s">
        <v>11</v>
      </c>
      <c r="C1040">
        <v>53146</v>
      </c>
      <c r="D1040" s="2">
        <v>35137.05</v>
      </c>
      <c r="E1040" s="1">
        <v>42711</v>
      </c>
      <c r="F1040" t="s">
        <v>18</v>
      </c>
      <c r="G1040" t="s">
        <v>267</v>
      </c>
      <c r="H1040" t="str">
        <f>"12/1/2016"</f>
        <v>12/1/2016</v>
      </c>
      <c r="I1040" t="str">
        <f>"HEALTH CARE SERVICE CORPORATIO"</f>
        <v>HEALTH CARE SERVICE CORPORATIO</v>
      </c>
      <c r="J1040" s="2">
        <v>-13711.16</v>
      </c>
    </row>
    <row r="1041" spans="7:10" ht="15">
      <c r="G1041" t="s">
        <v>13</v>
      </c>
      <c r="H1041" t="str">
        <f>"BME201611087771"</f>
        <v>BME201611087771</v>
      </c>
      <c r="I1041" t="str">
        <f aca="true" t="shared" si="27" ref="I1041:I1046">"INSURANCE"</f>
        <v>INSURANCE</v>
      </c>
      <c r="J1041" s="2">
        <v>7262.28</v>
      </c>
    </row>
    <row r="1042" spans="7:10" ht="15">
      <c r="G1042" t="s">
        <v>13</v>
      </c>
      <c r="H1042" t="str">
        <f>"BME201611217793"</f>
        <v>BME201611217793</v>
      </c>
      <c r="I1042" t="str">
        <f t="shared" si="27"/>
        <v>INSURANCE</v>
      </c>
      <c r="J1042" s="2">
        <v>7262.28</v>
      </c>
    </row>
    <row r="1043" spans="7:10" ht="15">
      <c r="G1043" t="s">
        <v>13</v>
      </c>
      <c r="H1043" t="str">
        <f>"BME201612057829"</f>
        <v>BME201612057829</v>
      </c>
      <c r="I1043" t="str">
        <f t="shared" si="27"/>
        <v>INSURANCE</v>
      </c>
      <c r="J1043" s="2">
        <v>7262.28</v>
      </c>
    </row>
    <row r="1044" spans="7:10" ht="15">
      <c r="G1044" t="s">
        <v>13</v>
      </c>
      <c r="H1044" t="str">
        <f>"MED201611087771"</f>
        <v>MED201611087771</v>
      </c>
      <c r="I1044" t="str">
        <f t="shared" si="27"/>
        <v>INSURANCE</v>
      </c>
      <c r="J1044" s="2">
        <v>8569.02</v>
      </c>
    </row>
    <row r="1045" spans="7:10" ht="15">
      <c r="G1045" t="s">
        <v>13</v>
      </c>
      <c r="H1045" t="str">
        <f>"MED201611217793"</f>
        <v>MED201611217793</v>
      </c>
      <c r="I1045" t="str">
        <f t="shared" si="27"/>
        <v>INSURANCE</v>
      </c>
      <c r="J1045" s="2">
        <v>8335.85</v>
      </c>
    </row>
    <row r="1046" spans="7:10" ht="15">
      <c r="G1046" t="s">
        <v>13</v>
      </c>
      <c r="H1046" t="str">
        <f>"MED201612057829"</f>
        <v>MED201612057829</v>
      </c>
      <c r="I1046" t="str">
        <f t="shared" si="27"/>
        <v>INSURANCE</v>
      </c>
      <c r="J1046" s="2">
        <v>8335.85</v>
      </c>
    </row>
    <row r="1047" spans="7:10" ht="15">
      <c r="G1047" t="s">
        <v>13</v>
      </c>
      <c r="H1047" t="str">
        <f>"VLC201611087771"</f>
        <v>VLC201611087771</v>
      </c>
      <c r="I1047" t="str">
        <f>"CHILD LIFE INSURANCE"</f>
        <v>CHILD LIFE INSURANCE</v>
      </c>
      <c r="J1047" s="2">
        <v>42.79</v>
      </c>
    </row>
    <row r="1048" spans="7:10" ht="15">
      <c r="G1048" t="s">
        <v>13</v>
      </c>
      <c r="H1048" t="str">
        <f>"VLC201611217793"</f>
        <v>VLC201611217793</v>
      </c>
      <c r="I1048" t="str">
        <f>"CHILD LIFE INSURANCE"</f>
        <v>CHILD LIFE INSURANCE</v>
      </c>
      <c r="J1048" s="2">
        <v>42.79</v>
      </c>
    </row>
    <row r="1049" spans="7:10" ht="15">
      <c r="G1049" t="s">
        <v>13</v>
      </c>
      <c r="H1049" t="str">
        <f>"VLC201612057829"</f>
        <v>VLC201612057829</v>
      </c>
      <c r="I1049" t="str">
        <f>"CHILD LIFE INSURANCE"</f>
        <v>CHILD LIFE INSURANCE</v>
      </c>
      <c r="J1049" s="2">
        <v>42.79</v>
      </c>
    </row>
    <row r="1050" spans="7:10" ht="15">
      <c r="G1050" t="s">
        <v>13</v>
      </c>
      <c r="H1050" t="str">
        <f>"VLS201611087771"</f>
        <v>VLS201611087771</v>
      </c>
      <c r="I1050" t="str">
        <f>"SPOUSE LIFE"</f>
        <v>SPOUSE LIFE</v>
      </c>
      <c r="J1050" s="2">
        <v>121.82</v>
      </c>
    </row>
    <row r="1051" spans="7:10" ht="15">
      <c r="G1051" t="s">
        <v>13</v>
      </c>
      <c r="H1051" t="str">
        <f>"VLS201611217793"</f>
        <v>VLS201611217793</v>
      </c>
      <c r="I1051" t="str">
        <f>"SPOUSE LIFE"</f>
        <v>SPOUSE LIFE</v>
      </c>
      <c r="J1051" s="2">
        <v>121.82</v>
      </c>
    </row>
    <row r="1052" spans="7:10" ht="15">
      <c r="G1052" t="s">
        <v>13</v>
      </c>
      <c r="H1052" t="str">
        <f>"VLS201612057829"</f>
        <v>VLS201612057829</v>
      </c>
      <c r="I1052" t="str">
        <f>"SPOUSE LIFE"</f>
        <v>SPOUSE LIFE</v>
      </c>
      <c r="J1052" s="2">
        <v>121.82</v>
      </c>
    </row>
    <row r="1053" spans="7:10" ht="15">
      <c r="G1053" t="s">
        <v>13</v>
      </c>
      <c r="H1053" t="str">
        <f>"VOE201611087771"</f>
        <v>VOE201611087771</v>
      </c>
      <c r="I1053" t="str">
        <f>"EMPLOYEE LIFE"</f>
        <v>EMPLOYEE LIFE</v>
      </c>
      <c r="J1053" s="2">
        <v>27.38</v>
      </c>
    </row>
    <row r="1054" spans="7:10" ht="15">
      <c r="G1054" t="s">
        <v>13</v>
      </c>
      <c r="H1054" t="str">
        <f>"VOE201611217793"</f>
        <v>VOE201611217793</v>
      </c>
      <c r="I1054" t="str">
        <f>"EMPLOYEE LIFE"</f>
        <v>EMPLOYEE LIFE</v>
      </c>
      <c r="J1054" s="2">
        <v>27.38</v>
      </c>
    </row>
    <row r="1055" spans="7:10" ht="15">
      <c r="G1055" t="s">
        <v>13</v>
      </c>
      <c r="H1055" t="str">
        <f>"VOE201612057829"</f>
        <v>VOE201612057829</v>
      </c>
      <c r="I1055" t="str">
        <f>"EMPLOYEE LIFE"</f>
        <v>EMPLOYEE LIFE</v>
      </c>
      <c r="J1055" s="2">
        <v>27.38</v>
      </c>
    </row>
    <row r="1056" spans="7:10" ht="15">
      <c r="G1056" t="s">
        <v>13</v>
      </c>
      <c r="H1056" t="str">
        <f>"VOL201611087771"</f>
        <v>VOL201611087771</v>
      </c>
      <c r="I1056" t="str">
        <f>"LIFE"</f>
        <v>LIFE</v>
      </c>
      <c r="J1056" s="2">
        <v>421.36</v>
      </c>
    </row>
    <row r="1057" spans="7:10" ht="15">
      <c r="G1057" t="s">
        <v>13</v>
      </c>
      <c r="H1057" t="str">
        <f>"VOL201611217793"</f>
        <v>VOL201611217793</v>
      </c>
      <c r="I1057" t="str">
        <f>"LIFE"</f>
        <v>LIFE</v>
      </c>
      <c r="J1057" s="2">
        <v>411.66</v>
      </c>
    </row>
    <row r="1058" spans="7:10" ht="15">
      <c r="G1058" t="s">
        <v>13</v>
      </c>
      <c r="H1058" t="str">
        <f>"VOL201612057829"</f>
        <v>VOL201612057829</v>
      </c>
      <c r="I1058" t="str">
        <f>"LIFE"</f>
        <v>LIFE</v>
      </c>
      <c r="J1058" s="2">
        <v>411.66</v>
      </c>
    </row>
    <row r="1059" spans="1:10" ht="15">
      <c r="A1059" t="s">
        <v>28</v>
      </c>
      <c r="B1059" t="s">
        <v>11</v>
      </c>
      <c r="C1059">
        <v>53155</v>
      </c>
      <c r="D1059" s="2">
        <v>4516.13</v>
      </c>
      <c r="E1059" s="1">
        <v>42711</v>
      </c>
      <c r="F1059" t="s">
        <v>18</v>
      </c>
      <c r="G1059" t="s">
        <v>22</v>
      </c>
      <c r="H1059" t="str">
        <f>"12/1/2016"</f>
        <v>12/1/2016</v>
      </c>
      <c r="I1059" t="str">
        <f>"DEARBORN NATIONAL"</f>
        <v>DEARBORN NATIONAL</v>
      </c>
      <c r="J1059" s="2">
        <v>4487.61</v>
      </c>
    </row>
    <row r="1060" spans="7:10" ht="15">
      <c r="G1060" t="s">
        <v>13</v>
      </c>
      <c r="H1060" t="str">
        <f>"ADD201611087771"</f>
        <v>ADD201611087771</v>
      </c>
      <c r="I1060" t="str">
        <f>"AD&amp;D"</f>
        <v>AD&amp;D</v>
      </c>
      <c r="J1060" s="2">
        <v>1</v>
      </c>
    </row>
    <row r="1061" spans="7:10" ht="15">
      <c r="G1061" t="s">
        <v>13</v>
      </c>
      <c r="H1061" t="str">
        <f>"ADD201611217793"</f>
        <v>ADD201611217793</v>
      </c>
      <c r="I1061" t="str">
        <f>"AD&amp;D"</f>
        <v>AD&amp;D</v>
      </c>
      <c r="J1061" s="2">
        <v>0.98</v>
      </c>
    </row>
    <row r="1062" spans="7:10" ht="15">
      <c r="G1062" t="s">
        <v>13</v>
      </c>
      <c r="H1062" t="str">
        <f>"ADD201612057829"</f>
        <v>ADD201612057829</v>
      </c>
      <c r="I1062" t="str">
        <f>"AD&amp;D"</f>
        <v>AD&amp;D</v>
      </c>
      <c r="J1062" s="2">
        <v>0.98</v>
      </c>
    </row>
    <row r="1063" spans="7:10" ht="15">
      <c r="G1063" t="s">
        <v>13</v>
      </c>
      <c r="H1063" t="str">
        <f>"LIF201611087771"</f>
        <v>LIF201611087771</v>
      </c>
      <c r="I1063" t="str">
        <f>"INSURANCE"</f>
        <v>INSURANCE</v>
      </c>
      <c r="J1063" s="2">
        <v>8.64</v>
      </c>
    </row>
    <row r="1064" spans="7:10" ht="15">
      <c r="G1064" t="s">
        <v>13</v>
      </c>
      <c r="H1064" t="str">
        <f>"LIF201611217793"</f>
        <v>LIF201611217793</v>
      </c>
      <c r="I1064" t="str">
        <f>"INSURANCE"</f>
        <v>INSURANCE</v>
      </c>
      <c r="J1064" s="2">
        <v>8.46</v>
      </c>
    </row>
    <row r="1065" spans="7:10" ht="15">
      <c r="G1065" t="s">
        <v>13</v>
      </c>
      <c r="H1065" t="str">
        <f>"LIF201612057829"</f>
        <v>LIF201612057829</v>
      </c>
      <c r="I1065" t="str">
        <f>"INSURANCE"</f>
        <v>INSURANCE</v>
      </c>
      <c r="J1065" s="2">
        <v>8.46</v>
      </c>
    </row>
    <row r="1066" spans="1:10" ht="15">
      <c r="A1066" t="s">
        <v>268</v>
      </c>
      <c r="B1066" t="s">
        <v>11</v>
      </c>
      <c r="C1066">
        <v>53162</v>
      </c>
      <c r="D1066" s="2">
        <v>280</v>
      </c>
      <c r="E1066" s="1">
        <v>42711</v>
      </c>
      <c r="F1066" t="s">
        <v>18</v>
      </c>
      <c r="G1066" t="s">
        <v>13</v>
      </c>
      <c r="H1066" t="str">
        <f>"H.E. 12/10/16"</f>
        <v>H.E. 12/10/16</v>
      </c>
      <c r="I1066" t="str">
        <f>"SECURITY H.E."</f>
        <v>SECURITY H.E.</v>
      </c>
      <c r="J1066" s="2">
        <v>280</v>
      </c>
    </row>
    <row r="1067" spans="1:10" ht="15">
      <c r="A1067" t="s">
        <v>226</v>
      </c>
      <c r="B1067" t="s">
        <v>11</v>
      </c>
      <c r="C1067">
        <v>53163</v>
      </c>
      <c r="D1067" s="2">
        <v>49.22</v>
      </c>
      <c r="E1067" s="1">
        <v>42711</v>
      </c>
      <c r="F1067" t="s">
        <v>18</v>
      </c>
      <c r="G1067" t="s">
        <v>13</v>
      </c>
      <c r="H1067" t="str">
        <f>"TRAINING 12/8/16"</f>
        <v>TRAINING 12/8/16</v>
      </c>
      <c r="I1067" t="str">
        <f>"HENRIETTA TURNER"</f>
        <v>HENRIETTA TURNER</v>
      </c>
      <c r="J1067" s="2">
        <v>49.22</v>
      </c>
    </row>
    <row r="1068" spans="1:10" ht="15">
      <c r="A1068" t="s">
        <v>104</v>
      </c>
      <c r="B1068" t="s">
        <v>11</v>
      </c>
      <c r="C1068">
        <v>53164</v>
      </c>
      <c r="D1068" s="2">
        <v>469.21</v>
      </c>
      <c r="E1068" s="1">
        <v>42711</v>
      </c>
      <c r="F1068" t="s">
        <v>18</v>
      </c>
      <c r="G1068" t="s">
        <v>13</v>
      </c>
      <c r="H1068" t="str">
        <f>"A.M. 12/7/16"</f>
        <v>A.M. 12/7/16</v>
      </c>
      <c r="I1068" t="str">
        <f>"CITY OF FLORESVILLE -PETTY CAS"</f>
        <v>CITY OF FLORESVILLE -PETTY CAS</v>
      </c>
      <c r="J1068" s="2">
        <v>226.71</v>
      </c>
    </row>
    <row r="1069" spans="7:10" ht="15">
      <c r="G1069" t="s">
        <v>13</v>
      </c>
      <c r="H1069" t="str">
        <f>"B.C. 12/7/16"</f>
        <v>B.C. 12/7/16</v>
      </c>
      <c r="I1069" t="str">
        <f>"CITY OF FLORESVILLE -PETTY CAS"</f>
        <v>CITY OF FLORESVILLE -PETTY CAS</v>
      </c>
      <c r="J1069" s="2">
        <v>242.5</v>
      </c>
    </row>
    <row r="1070" spans="1:10" ht="15">
      <c r="A1070" t="s">
        <v>91</v>
      </c>
      <c r="B1070" t="s">
        <v>11</v>
      </c>
      <c r="C1070">
        <v>53165</v>
      </c>
      <c r="D1070" s="2">
        <v>200</v>
      </c>
      <c r="E1070" s="1">
        <v>42711</v>
      </c>
      <c r="F1070" t="s">
        <v>18</v>
      </c>
      <c r="G1070" t="s">
        <v>13</v>
      </c>
      <c r="H1070" t="str">
        <f>"12/2016-5/2016"</f>
        <v>12/2016-5/2016</v>
      </c>
      <c r="I1070" t="str">
        <f>"JANITORIAL SERVICES"</f>
        <v>JANITORIAL SERVICES</v>
      </c>
      <c r="J1070" s="2">
        <v>200</v>
      </c>
    </row>
    <row r="1071" spans="1:10" ht="15">
      <c r="A1071" t="s">
        <v>249</v>
      </c>
      <c r="B1071" t="s">
        <v>11</v>
      </c>
      <c r="C1071">
        <v>53166</v>
      </c>
      <c r="D1071" s="2">
        <v>350</v>
      </c>
      <c r="E1071" s="1">
        <v>42711</v>
      </c>
      <c r="F1071" t="s">
        <v>18</v>
      </c>
      <c r="G1071" t="s">
        <v>13</v>
      </c>
      <c r="H1071" t="str">
        <f>"005"</f>
        <v>005</v>
      </c>
      <c r="I1071" t="str">
        <f>"ACOUSTIC TO ROCK STUDIOS"</f>
        <v>ACOUSTIC TO ROCK STUDIOS</v>
      </c>
      <c r="J1071" s="2">
        <v>350</v>
      </c>
    </row>
    <row r="1072" spans="1:10" ht="15">
      <c r="A1072" t="s">
        <v>269</v>
      </c>
      <c r="B1072" t="s">
        <v>11</v>
      </c>
      <c r="C1072">
        <v>53167</v>
      </c>
      <c r="D1072" s="2">
        <v>150</v>
      </c>
      <c r="E1072" s="1">
        <v>42711</v>
      </c>
      <c r="F1072" t="s">
        <v>18</v>
      </c>
      <c r="G1072" t="s">
        <v>13</v>
      </c>
      <c r="H1072" t="str">
        <f>"SPONSORSHIP"</f>
        <v>SPONSORSHIP</v>
      </c>
      <c r="I1072" t="str">
        <f>"WILSON COUNTY SCHOOL OF BALLET"</f>
        <v>WILSON COUNTY SCHOOL OF BALLET</v>
      </c>
      <c r="J1072" s="2">
        <v>150</v>
      </c>
    </row>
    <row r="1073" spans="1:10" ht="15">
      <c r="A1073" t="s">
        <v>85</v>
      </c>
      <c r="B1073" t="s">
        <v>11</v>
      </c>
      <c r="C1073">
        <v>53168</v>
      </c>
      <c r="D1073" s="2">
        <v>75</v>
      </c>
      <c r="E1073" s="1">
        <v>42711</v>
      </c>
      <c r="F1073" t="s">
        <v>18</v>
      </c>
      <c r="G1073" t="s">
        <v>13</v>
      </c>
      <c r="H1073" t="str">
        <f>"12/7/16-COUNCIL"</f>
        <v>12/7/16-COUNCIL</v>
      </c>
      <c r="I1073">
        <f>""</f>
      </c>
      <c r="J1073" s="2">
        <v>75</v>
      </c>
    </row>
    <row r="1074" spans="1:10" ht="15">
      <c r="A1074" t="s">
        <v>86</v>
      </c>
      <c r="B1074" t="s">
        <v>11</v>
      </c>
      <c r="C1074">
        <v>53169</v>
      </c>
      <c r="D1074" s="2">
        <v>75</v>
      </c>
      <c r="E1074" s="1">
        <v>42711</v>
      </c>
      <c r="F1074" t="s">
        <v>18</v>
      </c>
      <c r="G1074" t="s">
        <v>13</v>
      </c>
      <c r="H1074" t="str">
        <f>"12/7/16-COUNCIL"</f>
        <v>12/7/16-COUNCIL</v>
      </c>
      <c r="I1074">
        <f>""</f>
      </c>
      <c r="J1074" s="2">
        <v>75</v>
      </c>
    </row>
    <row r="1075" spans="1:10" ht="15">
      <c r="A1075" t="s">
        <v>87</v>
      </c>
      <c r="B1075" t="s">
        <v>11</v>
      </c>
      <c r="C1075">
        <v>53170</v>
      </c>
      <c r="D1075" s="2">
        <v>100</v>
      </c>
      <c r="E1075" s="1">
        <v>42711</v>
      </c>
      <c r="F1075" t="s">
        <v>18</v>
      </c>
      <c r="G1075" t="s">
        <v>13</v>
      </c>
      <c r="H1075" t="str">
        <f>"12/7/16-MAYOR"</f>
        <v>12/7/16-MAYOR</v>
      </c>
      <c r="I1075">
        <f>""</f>
      </c>
      <c r="J1075" s="2">
        <v>100</v>
      </c>
    </row>
    <row r="1076" spans="1:10" ht="15">
      <c r="A1076" t="s">
        <v>88</v>
      </c>
      <c r="B1076" t="s">
        <v>11</v>
      </c>
      <c r="C1076">
        <v>53171</v>
      </c>
      <c r="D1076" s="2">
        <v>75</v>
      </c>
      <c r="E1076" s="1">
        <v>42711</v>
      </c>
      <c r="F1076" t="s">
        <v>18</v>
      </c>
      <c r="G1076" t="s">
        <v>13</v>
      </c>
      <c r="H1076" t="str">
        <f>"12/7/16-COUNCIL"</f>
        <v>12/7/16-COUNCIL</v>
      </c>
      <c r="I1076">
        <f>""</f>
      </c>
      <c r="J1076" s="2">
        <v>75</v>
      </c>
    </row>
    <row r="1077" spans="1:10" ht="15">
      <c r="A1077" t="s">
        <v>89</v>
      </c>
      <c r="B1077" t="s">
        <v>11</v>
      </c>
      <c r="C1077">
        <v>53172</v>
      </c>
      <c r="D1077" s="2">
        <v>75</v>
      </c>
      <c r="E1077" s="1">
        <v>42711</v>
      </c>
      <c r="F1077" t="s">
        <v>18</v>
      </c>
      <c r="G1077" t="s">
        <v>13</v>
      </c>
      <c r="H1077" t="str">
        <f>"12/7/16-COUNCIL"</f>
        <v>12/7/16-COUNCIL</v>
      </c>
      <c r="I1077">
        <f>""</f>
      </c>
      <c r="J1077" s="2">
        <v>75</v>
      </c>
    </row>
    <row r="1078" spans="1:10" ht="15">
      <c r="A1078" t="s">
        <v>90</v>
      </c>
      <c r="B1078" t="s">
        <v>11</v>
      </c>
      <c r="C1078">
        <v>53173</v>
      </c>
      <c r="D1078" s="2">
        <v>75</v>
      </c>
      <c r="E1078" s="1">
        <v>42711</v>
      </c>
      <c r="F1078" t="s">
        <v>18</v>
      </c>
      <c r="G1078" t="s">
        <v>13</v>
      </c>
      <c r="H1078" t="str">
        <f>"12/7/16-COUNCIL"</f>
        <v>12/7/16-COUNCIL</v>
      </c>
      <c r="I1078">
        <f>""</f>
      </c>
      <c r="J1078" s="2">
        <v>75</v>
      </c>
    </row>
    <row r="1079" spans="1:10" ht="15">
      <c r="A1079" t="s">
        <v>104</v>
      </c>
      <c r="B1079" t="s">
        <v>11</v>
      </c>
      <c r="C1079">
        <v>53174</v>
      </c>
      <c r="D1079" s="2">
        <v>1000</v>
      </c>
      <c r="E1079" s="1">
        <v>42714</v>
      </c>
      <c r="F1079" t="s">
        <v>18</v>
      </c>
      <c r="G1079" t="s">
        <v>13</v>
      </c>
      <c r="H1079" t="str">
        <f>"PETTY CASH HOL EX"</f>
        <v>PETTY CASH HOL EX</v>
      </c>
      <c r="I1079" t="str">
        <f>"CITY OF FLORESVILLE -PETTY CAS"</f>
        <v>CITY OF FLORESVILLE -PETTY CAS</v>
      </c>
      <c r="J1079" s="2">
        <v>1000</v>
      </c>
    </row>
    <row r="1080" spans="1:10" ht="15">
      <c r="A1080" t="s">
        <v>54</v>
      </c>
      <c r="B1080" t="s">
        <v>11</v>
      </c>
      <c r="C1080">
        <v>53175</v>
      </c>
      <c r="D1080" s="2">
        <v>35496.55</v>
      </c>
      <c r="E1080" s="1">
        <v>42716</v>
      </c>
      <c r="F1080" t="s">
        <v>18</v>
      </c>
      <c r="G1080" t="s">
        <v>13</v>
      </c>
      <c r="H1080" t="str">
        <f>"1448"</f>
        <v>1448</v>
      </c>
      <c r="I1080" t="str">
        <f aca="true" t="shared" si="28" ref="I1080:I1091">"THE LAW OFFICES OF LOUIS T. RO"</f>
        <v>THE LAW OFFICES OF LOUIS T. RO</v>
      </c>
      <c r="J1080" s="2">
        <v>4593</v>
      </c>
    </row>
    <row r="1081" spans="7:10" ht="15">
      <c r="G1081" t="s">
        <v>13</v>
      </c>
      <c r="H1081" t="str">
        <f>"1449"</f>
        <v>1449</v>
      </c>
      <c r="I1081" t="str">
        <f t="shared" si="28"/>
        <v>THE LAW OFFICES OF LOUIS T. RO</v>
      </c>
      <c r="J1081" s="2">
        <v>1620</v>
      </c>
    </row>
    <row r="1082" spans="7:10" ht="15">
      <c r="G1082" t="s">
        <v>13</v>
      </c>
      <c r="H1082" t="str">
        <f>"1450"</f>
        <v>1450</v>
      </c>
      <c r="I1082" t="str">
        <f t="shared" si="28"/>
        <v>THE LAW OFFICES OF LOUIS T. RO</v>
      </c>
      <c r="J1082" s="2">
        <v>2903</v>
      </c>
    </row>
    <row r="1083" spans="7:10" ht="15">
      <c r="G1083" t="s">
        <v>13</v>
      </c>
      <c r="H1083" t="str">
        <f>"1451"</f>
        <v>1451</v>
      </c>
      <c r="I1083" t="str">
        <f t="shared" si="28"/>
        <v>THE LAW OFFICES OF LOUIS T. RO</v>
      </c>
      <c r="J1083" s="2">
        <v>6897.55</v>
      </c>
    </row>
    <row r="1084" spans="7:10" ht="15">
      <c r="G1084" t="s">
        <v>13</v>
      </c>
      <c r="H1084" t="str">
        <f>"1453"</f>
        <v>1453</v>
      </c>
      <c r="I1084" t="str">
        <f t="shared" si="28"/>
        <v>THE LAW OFFICES OF LOUIS T. RO</v>
      </c>
      <c r="J1084" s="2">
        <v>108</v>
      </c>
    </row>
    <row r="1085" spans="7:10" ht="15">
      <c r="G1085" t="s">
        <v>13</v>
      </c>
      <c r="H1085" t="str">
        <f>"1454"</f>
        <v>1454</v>
      </c>
      <c r="I1085" t="str">
        <f t="shared" si="28"/>
        <v>THE LAW OFFICES OF LOUIS T. RO</v>
      </c>
      <c r="J1085" s="2">
        <v>5665.5</v>
      </c>
    </row>
    <row r="1086" spans="7:10" ht="15">
      <c r="G1086" t="s">
        <v>13</v>
      </c>
      <c r="H1086" t="str">
        <f>"1455"</f>
        <v>1455</v>
      </c>
      <c r="I1086" t="str">
        <f t="shared" si="28"/>
        <v>THE LAW OFFICES OF LOUIS T. RO</v>
      </c>
      <c r="J1086" s="2">
        <v>1921</v>
      </c>
    </row>
    <row r="1087" spans="7:10" ht="15">
      <c r="G1087" t="s">
        <v>13</v>
      </c>
      <c r="H1087" t="str">
        <f>"1456"</f>
        <v>1456</v>
      </c>
      <c r="I1087" t="str">
        <f t="shared" si="28"/>
        <v>THE LAW OFFICES OF LOUIS T. RO</v>
      </c>
      <c r="J1087" s="2">
        <v>1118</v>
      </c>
    </row>
    <row r="1088" spans="7:10" ht="15">
      <c r="G1088" t="s">
        <v>13</v>
      </c>
      <c r="H1088" t="str">
        <f>"1457"</f>
        <v>1457</v>
      </c>
      <c r="I1088" t="str">
        <f t="shared" si="28"/>
        <v>THE LAW OFFICES OF LOUIS T. RO</v>
      </c>
      <c r="J1088" s="2">
        <v>1044</v>
      </c>
    </row>
    <row r="1089" spans="7:10" ht="15">
      <c r="G1089" t="s">
        <v>13</v>
      </c>
      <c r="H1089" t="str">
        <f>"1458"</f>
        <v>1458</v>
      </c>
      <c r="I1089" t="str">
        <f t="shared" si="28"/>
        <v>THE LAW OFFICES OF LOUIS T. RO</v>
      </c>
      <c r="J1089" s="2">
        <v>396</v>
      </c>
    </row>
    <row r="1090" spans="7:10" ht="15">
      <c r="G1090" t="s">
        <v>13</v>
      </c>
      <c r="H1090" t="str">
        <f>"1459"</f>
        <v>1459</v>
      </c>
      <c r="I1090" t="str">
        <f t="shared" si="28"/>
        <v>THE LAW OFFICES OF LOUIS T. RO</v>
      </c>
      <c r="J1090" s="2">
        <v>9104.5</v>
      </c>
    </row>
    <row r="1091" spans="7:10" ht="15">
      <c r="G1091" t="s">
        <v>13</v>
      </c>
      <c r="H1091" t="str">
        <f>"1460"</f>
        <v>1460</v>
      </c>
      <c r="I1091" t="str">
        <f t="shared" si="28"/>
        <v>THE LAW OFFICES OF LOUIS T. RO</v>
      </c>
      <c r="J1091" s="2">
        <v>126</v>
      </c>
    </row>
    <row r="1092" spans="1:10" ht="15">
      <c r="A1092" t="s">
        <v>240</v>
      </c>
      <c r="B1092" t="s">
        <v>11</v>
      </c>
      <c r="C1092">
        <v>53177</v>
      </c>
      <c r="D1092" s="2">
        <v>1172.93</v>
      </c>
      <c r="E1092" s="1">
        <v>42716</v>
      </c>
      <c r="F1092" t="s">
        <v>18</v>
      </c>
      <c r="G1092" t="s">
        <v>13</v>
      </c>
      <c r="H1092" t="str">
        <f>"37336"</f>
        <v>37336</v>
      </c>
      <c r="I1092" t="str">
        <f>"PHOTOGRAPHS BY JIM"</f>
        <v>PHOTOGRAPHS BY JIM</v>
      </c>
      <c r="J1092" s="2">
        <v>1172.93</v>
      </c>
    </row>
    <row r="1093" spans="1:10" ht="15">
      <c r="A1093" t="s">
        <v>256</v>
      </c>
      <c r="B1093" t="s">
        <v>11</v>
      </c>
      <c r="C1093">
        <v>53178</v>
      </c>
      <c r="D1093" s="2">
        <v>1500</v>
      </c>
      <c r="E1093" s="1">
        <v>42716</v>
      </c>
      <c r="F1093" t="s">
        <v>18</v>
      </c>
      <c r="G1093" t="s">
        <v>13</v>
      </c>
      <c r="H1093" t="str">
        <f>"201612127833"</f>
        <v>201612127833</v>
      </c>
      <c r="I1093" t="str">
        <f>"GEORGE NICKLAS SILVA"</f>
        <v>GEORGE NICKLAS SILVA</v>
      </c>
      <c r="J1093" s="2">
        <v>1500</v>
      </c>
    </row>
    <row r="1094" spans="1:10" ht="15">
      <c r="A1094" t="s">
        <v>54</v>
      </c>
      <c r="B1094" t="s">
        <v>11</v>
      </c>
      <c r="C1094">
        <v>53179</v>
      </c>
      <c r="D1094" s="2">
        <v>2000</v>
      </c>
      <c r="E1094" s="1">
        <v>42716</v>
      </c>
      <c r="F1094" t="s">
        <v>18</v>
      </c>
      <c r="G1094" t="s">
        <v>13</v>
      </c>
      <c r="H1094" t="str">
        <f>"1452"</f>
        <v>1452</v>
      </c>
      <c r="I1094" t="str">
        <f>"THE LAW OFFICES OF LOUIS T. RO"</f>
        <v>THE LAW OFFICES OF LOUIS T. RO</v>
      </c>
      <c r="J1094" s="2">
        <v>2000</v>
      </c>
    </row>
    <row r="1095" spans="1:10" ht="15">
      <c r="A1095" t="s">
        <v>270</v>
      </c>
      <c r="B1095" t="s">
        <v>11</v>
      </c>
      <c r="C1095">
        <v>53180</v>
      </c>
      <c r="D1095" s="2">
        <v>560</v>
      </c>
      <c r="E1095" s="1">
        <v>42716</v>
      </c>
      <c r="F1095" t="s">
        <v>18</v>
      </c>
      <c r="G1095" t="s">
        <v>13</v>
      </c>
      <c r="H1095" t="str">
        <f>"1023"</f>
        <v>1023</v>
      </c>
      <c r="I1095" t="str">
        <f>"MAD DESIGNS"</f>
        <v>MAD DESIGNS</v>
      </c>
      <c r="J1095" s="2">
        <v>560</v>
      </c>
    </row>
    <row r="1096" spans="1:10" ht="15">
      <c r="A1096" t="s">
        <v>49</v>
      </c>
      <c r="B1096" t="s">
        <v>11</v>
      </c>
      <c r="C1096">
        <v>53181</v>
      </c>
      <c r="D1096" s="2">
        <v>400</v>
      </c>
      <c r="E1096" s="1">
        <v>42717</v>
      </c>
      <c r="F1096" t="s">
        <v>15</v>
      </c>
      <c r="G1096" t="s">
        <v>13</v>
      </c>
      <c r="H1096" t="str">
        <f>"7130"</f>
        <v>7130</v>
      </c>
      <c r="I1096" t="str">
        <f>"DREWA DESIGNS  INC."</f>
        <v>DREWA DESIGNS  INC.</v>
      </c>
      <c r="J1096" s="2">
        <v>400</v>
      </c>
    </row>
    <row r="1097" spans="1:10" ht="15">
      <c r="A1097" t="s">
        <v>49</v>
      </c>
      <c r="B1097" t="s">
        <v>11</v>
      </c>
      <c r="C1097">
        <v>53181</v>
      </c>
      <c r="D1097" s="2">
        <v>400</v>
      </c>
      <c r="E1097" s="1">
        <v>42717</v>
      </c>
      <c r="F1097" t="s">
        <v>15</v>
      </c>
      <c r="G1097" t="s">
        <v>16</v>
      </c>
      <c r="H1097" t="str">
        <f>"CHECK"</f>
        <v>CHECK</v>
      </c>
      <c r="I1097">
        <f>""</f>
      </c>
      <c r="J1097" s="2">
        <v>400</v>
      </c>
    </row>
    <row r="1098" spans="1:10" ht="15">
      <c r="A1098" t="s">
        <v>174</v>
      </c>
      <c r="B1098" t="s">
        <v>11</v>
      </c>
      <c r="C1098">
        <v>53182</v>
      </c>
      <c r="D1098" s="2">
        <v>2000</v>
      </c>
      <c r="E1098" s="1">
        <v>42717</v>
      </c>
      <c r="F1098" t="s">
        <v>18</v>
      </c>
      <c r="G1098" t="s">
        <v>13</v>
      </c>
      <c r="H1098" t="str">
        <f>"16056"</f>
        <v>16056</v>
      </c>
      <c r="I1098" t="str">
        <f>"AB WOODWORKS"</f>
        <v>AB WOODWORKS</v>
      </c>
      <c r="J1098" s="2">
        <v>2000</v>
      </c>
    </row>
    <row r="1099" spans="1:10" ht="15">
      <c r="A1099" t="s">
        <v>34</v>
      </c>
      <c r="B1099" t="s">
        <v>11</v>
      </c>
      <c r="C1099">
        <v>53253</v>
      </c>
      <c r="D1099" s="2">
        <v>70</v>
      </c>
      <c r="E1099" s="1">
        <v>42719</v>
      </c>
      <c r="F1099" t="s">
        <v>18</v>
      </c>
      <c r="G1099" t="s">
        <v>13</v>
      </c>
      <c r="H1099" t="str">
        <f>"156348"</f>
        <v>156348</v>
      </c>
      <c r="I1099" t="str">
        <f aca="true" t="shared" si="29" ref="I1099:I1105">"GERALD LUBIANSKI ENTERPRISES"</f>
        <v>GERALD LUBIANSKI ENTERPRISES</v>
      </c>
      <c r="J1099" s="2">
        <v>10</v>
      </c>
    </row>
    <row r="1100" spans="7:10" ht="15">
      <c r="G1100" t="s">
        <v>13</v>
      </c>
      <c r="H1100" t="str">
        <f>"156358"</f>
        <v>156358</v>
      </c>
      <c r="I1100" t="str">
        <f t="shared" si="29"/>
        <v>GERALD LUBIANSKI ENTERPRISES</v>
      </c>
      <c r="J1100" s="2">
        <v>10</v>
      </c>
    </row>
    <row r="1101" spans="7:10" ht="15">
      <c r="G1101" t="s">
        <v>13</v>
      </c>
      <c r="H1101" t="str">
        <f>"156411"</f>
        <v>156411</v>
      </c>
      <c r="I1101" t="str">
        <f t="shared" si="29"/>
        <v>GERALD LUBIANSKI ENTERPRISES</v>
      </c>
      <c r="J1101" s="2">
        <v>10</v>
      </c>
    </row>
    <row r="1102" spans="7:10" ht="15">
      <c r="G1102" t="s">
        <v>13</v>
      </c>
      <c r="H1102" t="str">
        <f>"156429"</f>
        <v>156429</v>
      </c>
      <c r="I1102" t="str">
        <f t="shared" si="29"/>
        <v>GERALD LUBIANSKI ENTERPRISES</v>
      </c>
      <c r="J1102" s="2">
        <v>10</v>
      </c>
    </row>
    <row r="1103" spans="7:10" ht="15">
      <c r="G1103" t="s">
        <v>13</v>
      </c>
      <c r="H1103" t="str">
        <f>"156520"</f>
        <v>156520</v>
      </c>
      <c r="I1103" t="str">
        <f t="shared" si="29"/>
        <v>GERALD LUBIANSKI ENTERPRISES</v>
      </c>
      <c r="J1103" s="2">
        <v>10</v>
      </c>
    </row>
    <row r="1104" spans="7:10" ht="15">
      <c r="G1104" t="s">
        <v>13</v>
      </c>
      <c r="H1104" t="str">
        <f>"156523"</f>
        <v>156523</v>
      </c>
      <c r="I1104" t="str">
        <f t="shared" si="29"/>
        <v>GERALD LUBIANSKI ENTERPRISES</v>
      </c>
      <c r="J1104" s="2">
        <v>10</v>
      </c>
    </row>
    <row r="1105" spans="7:10" ht="15">
      <c r="G1105" t="s">
        <v>13</v>
      </c>
      <c r="H1105" t="str">
        <f>"156535"</f>
        <v>156535</v>
      </c>
      <c r="I1105" t="str">
        <f t="shared" si="29"/>
        <v>GERALD LUBIANSKI ENTERPRISES</v>
      </c>
      <c r="J1105" s="2">
        <v>10</v>
      </c>
    </row>
    <row r="1106" spans="1:10" ht="15">
      <c r="A1106" t="s">
        <v>107</v>
      </c>
      <c r="B1106" t="s">
        <v>11</v>
      </c>
      <c r="C1106">
        <v>53255</v>
      </c>
      <c r="D1106" s="2">
        <v>182.79</v>
      </c>
      <c r="E1106" s="1">
        <v>42719</v>
      </c>
      <c r="F1106" t="s">
        <v>18</v>
      </c>
      <c r="G1106" t="s">
        <v>13</v>
      </c>
      <c r="H1106" t="str">
        <f>"201612137856"</f>
        <v>201612137856</v>
      </c>
      <c r="I1106" t="str">
        <f>"CENTERPOINT ENERGY ENTEX"</f>
        <v>CENTERPOINT ENERGY ENTEX</v>
      </c>
      <c r="J1106" s="2">
        <v>42.07</v>
      </c>
    </row>
    <row r="1107" spans="7:10" ht="15">
      <c r="G1107" t="s">
        <v>13</v>
      </c>
      <c r="H1107" t="str">
        <f>"201612137858"</f>
        <v>201612137858</v>
      </c>
      <c r="I1107" t="str">
        <f>"CENTERPOINT ENERGY ENTEX"</f>
        <v>CENTERPOINT ENERGY ENTEX</v>
      </c>
      <c r="J1107" s="2">
        <v>40.16</v>
      </c>
    </row>
    <row r="1108" spans="7:10" ht="15">
      <c r="G1108" t="s">
        <v>13</v>
      </c>
      <c r="H1108" t="str">
        <f>"201612137859"</f>
        <v>201612137859</v>
      </c>
      <c r="I1108" t="str">
        <f>"CENTERPOINT ENERGY ENTEX"</f>
        <v>CENTERPOINT ENERGY ENTEX</v>
      </c>
      <c r="J1108" s="2">
        <v>40.04</v>
      </c>
    </row>
    <row r="1109" spans="7:10" ht="15">
      <c r="G1109" t="s">
        <v>13</v>
      </c>
      <c r="H1109" t="str">
        <f>"201612137860"</f>
        <v>201612137860</v>
      </c>
      <c r="I1109" t="str">
        <f>"CENTERPOINT ENERGY ENTEX"</f>
        <v>CENTERPOINT ENERGY ENTEX</v>
      </c>
      <c r="J1109" s="2">
        <v>60.52</v>
      </c>
    </row>
    <row r="1110" spans="1:10" ht="15">
      <c r="A1110" t="s">
        <v>35</v>
      </c>
      <c r="B1110" t="s">
        <v>11</v>
      </c>
      <c r="C1110">
        <v>53256</v>
      </c>
      <c r="D1110" s="2">
        <v>7384.42</v>
      </c>
      <c r="E1110" s="1">
        <v>42719</v>
      </c>
      <c r="F1110" t="s">
        <v>18</v>
      </c>
      <c r="G1110" t="s">
        <v>13</v>
      </c>
      <c r="H1110" t="str">
        <f>"201612137842"</f>
        <v>201612137842</v>
      </c>
      <c r="I1110" t="str">
        <f>"F.E.L.P.S."</f>
        <v>F.E.L.P.S.</v>
      </c>
      <c r="J1110" s="2">
        <v>7384.42</v>
      </c>
    </row>
    <row r="1111" spans="1:10" ht="15">
      <c r="A1111" t="s">
        <v>228</v>
      </c>
      <c r="B1111" t="s">
        <v>11</v>
      </c>
      <c r="C1111">
        <v>53257</v>
      </c>
      <c r="D1111" s="2">
        <v>8319.95</v>
      </c>
      <c r="E1111" s="1">
        <v>42719</v>
      </c>
      <c r="F1111" t="s">
        <v>15</v>
      </c>
      <c r="G1111" t="s">
        <v>13</v>
      </c>
      <c r="H1111" t="str">
        <f>"2675"</f>
        <v>2675</v>
      </c>
      <c r="I1111" t="str">
        <f>"ROBERT L SRALLA DBA/SRALLA ELE"</f>
        <v>ROBERT L SRALLA DBA/SRALLA ELE</v>
      </c>
      <c r="J1111" s="2">
        <v>6635.87</v>
      </c>
    </row>
    <row r="1112" spans="7:10" ht="15">
      <c r="G1112" t="s">
        <v>13</v>
      </c>
      <c r="H1112" t="str">
        <f>"2676"</f>
        <v>2676</v>
      </c>
      <c r="I1112" t="str">
        <f>"ROBERT L SRALLA DBA/SRALLA ELE"</f>
        <v>ROBERT L SRALLA DBA/SRALLA ELE</v>
      </c>
      <c r="J1112" s="2">
        <v>1684.08</v>
      </c>
    </row>
    <row r="1113" spans="1:10" ht="15">
      <c r="A1113" t="s">
        <v>228</v>
      </c>
      <c r="B1113" t="s">
        <v>11</v>
      </c>
      <c r="C1113">
        <v>53257</v>
      </c>
      <c r="D1113" s="2">
        <v>8319.95</v>
      </c>
      <c r="E1113" s="1">
        <v>42719</v>
      </c>
      <c r="F1113" t="s">
        <v>15</v>
      </c>
      <c r="G1113" t="s">
        <v>16</v>
      </c>
      <c r="H1113" t="str">
        <f>"CHECK"</f>
        <v>CHECK</v>
      </c>
      <c r="I1113">
        <f>""</f>
      </c>
      <c r="J1113" s="2">
        <v>8319.95</v>
      </c>
    </row>
    <row r="1114" spans="1:10" ht="15">
      <c r="A1114" t="s">
        <v>36</v>
      </c>
      <c r="B1114" t="s">
        <v>11</v>
      </c>
      <c r="C1114">
        <v>53258</v>
      </c>
      <c r="D1114" s="2">
        <v>752.05</v>
      </c>
      <c r="E1114" s="1">
        <v>42719</v>
      </c>
      <c r="F1114" t="s">
        <v>18</v>
      </c>
      <c r="G1114" t="s">
        <v>13</v>
      </c>
      <c r="H1114" t="str">
        <f>"138446"</f>
        <v>138446</v>
      </c>
      <c r="I1114" t="str">
        <f aca="true" t="shared" si="30" ref="I1114:I1130">"WILSON COUNTY HARDWARE"</f>
        <v>WILSON COUNTY HARDWARE</v>
      </c>
      <c r="J1114" s="2">
        <v>90.63</v>
      </c>
    </row>
    <row r="1115" spans="7:10" ht="15">
      <c r="G1115" t="s">
        <v>13</v>
      </c>
      <c r="H1115" t="str">
        <f>"138447"</f>
        <v>138447</v>
      </c>
      <c r="I1115" t="str">
        <f t="shared" si="30"/>
        <v>WILSON COUNTY HARDWARE</v>
      </c>
      <c r="J1115" s="2">
        <v>19.99</v>
      </c>
    </row>
    <row r="1116" spans="7:10" ht="15">
      <c r="G1116" t="s">
        <v>13</v>
      </c>
      <c r="H1116" t="str">
        <f>"138448"</f>
        <v>138448</v>
      </c>
      <c r="I1116" t="str">
        <f t="shared" si="30"/>
        <v>WILSON COUNTY HARDWARE</v>
      </c>
      <c r="J1116" s="2">
        <v>18.67</v>
      </c>
    </row>
    <row r="1117" spans="7:10" ht="15">
      <c r="G1117" t="s">
        <v>13</v>
      </c>
      <c r="H1117" t="str">
        <f>"138450"</f>
        <v>138450</v>
      </c>
      <c r="I1117" t="str">
        <f t="shared" si="30"/>
        <v>WILSON COUNTY HARDWARE</v>
      </c>
      <c r="J1117" s="2">
        <v>8.9</v>
      </c>
    </row>
    <row r="1118" spans="7:10" ht="15">
      <c r="G1118" t="s">
        <v>13</v>
      </c>
      <c r="H1118" t="str">
        <f>"138922"</f>
        <v>138922</v>
      </c>
      <c r="I1118" t="str">
        <f t="shared" si="30"/>
        <v>WILSON COUNTY HARDWARE</v>
      </c>
      <c r="J1118" s="2">
        <v>35.67</v>
      </c>
    </row>
    <row r="1119" spans="7:10" ht="15">
      <c r="G1119" t="s">
        <v>13</v>
      </c>
      <c r="H1119" t="str">
        <f>"138923"</f>
        <v>138923</v>
      </c>
      <c r="I1119" t="str">
        <f t="shared" si="30"/>
        <v>WILSON COUNTY HARDWARE</v>
      </c>
      <c r="J1119" s="2">
        <v>46.4</v>
      </c>
    </row>
    <row r="1120" spans="7:10" ht="15">
      <c r="G1120" t="s">
        <v>13</v>
      </c>
      <c r="H1120" t="str">
        <f>"138924"</f>
        <v>138924</v>
      </c>
      <c r="I1120" t="str">
        <f t="shared" si="30"/>
        <v>WILSON COUNTY HARDWARE</v>
      </c>
      <c r="J1120" s="2">
        <v>132.34</v>
      </c>
    </row>
    <row r="1121" spans="7:10" ht="15">
      <c r="G1121" t="s">
        <v>13</v>
      </c>
      <c r="H1121" t="str">
        <f>"138925"</f>
        <v>138925</v>
      </c>
      <c r="I1121" t="str">
        <f t="shared" si="30"/>
        <v>WILSON COUNTY HARDWARE</v>
      </c>
      <c r="J1121" s="2">
        <v>20.98</v>
      </c>
    </row>
    <row r="1122" spans="7:10" ht="15">
      <c r="G1122" t="s">
        <v>13</v>
      </c>
      <c r="H1122" t="str">
        <f>"138926"</f>
        <v>138926</v>
      </c>
      <c r="I1122" t="str">
        <f t="shared" si="30"/>
        <v>WILSON COUNTY HARDWARE</v>
      </c>
      <c r="J1122" s="2">
        <v>83.28</v>
      </c>
    </row>
    <row r="1123" spans="7:10" ht="15">
      <c r="G1123" t="s">
        <v>13</v>
      </c>
      <c r="H1123" t="str">
        <f>"138928"</f>
        <v>138928</v>
      </c>
      <c r="I1123" t="str">
        <f t="shared" si="30"/>
        <v>WILSON COUNTY HARDWARE</v>
      </c>
      <c r="J1123" s="2">
        <v>93.08</v>
      </c>
    </row>
    <row r="1124" spans="7:10" ht="15">
      <c r="G1124" t="s">
        <v>13</v>
      </c>
      <c r="H1124" t="str">
        <f>"138931"</f>
        <v>138931</v>
      </c>
      <c r="I1124" t="str">
        <f t="shared" si="30"/>
        <v>WILSON COUNTY HARDWARE</v>
      </c>
      <c r="J1124" s="2">
        <v>4.49</v>
      </c>
    </row>
    <row r="1125" spans="7:10" ht="15">
      <c r="G1125" t="s">
        <v>13</v>
      </c>
      <c r="H1125" t="str">
        <f>"138933"</f>
        <v>138933</v>
      </c>
      <c r="I1125" t="str">
        <f t="shared" si="30"/>
        <v>WILSON COUNTY HARDWARE</v>
      </c>
      <c r="J1125" s="2">
        <v>18.44</v>
      </c>
    </row>
    <row r="1126" spans="7:10" ht="15">
      <c r="G1126" t="s">
        <v>13</v>
      </c>
      <c r="H1126" t="str">
        <f>"138934"</f>
        <v>138934</v>
      </c>
      <c r="I1126" t="str">
        <f t="shared" si="30"/>
        <v>WILSON COUNTY HARDWARE</v>
      </c>
      <c r="J1126" s="2">
        <v>53.2</v>
      </c>
    </row>
    <row r="1127" spans="7:10" ht="15">
      <c r="G1127" t="s">
        <v>13</v>
      </c>
      <c r="H1127" t="str">
        <f>"138936"</f>
        <v>138936</v>
      </c>
      <c r="I1127" t="str">
        <f t="shared" si="30"/>
        <v>WILSON COUNTY HARDWARE</v>
      </c>
      <c r="J1127" s="2">
        <v>17.25</v>
      </c>
    </row>
    <row r="1128" spans="7:10" ht="15">
      <c r="G1128" t="s">
        <v>13</v>
      </c>
      <c r="H1128" t="str">
        <f>"138941"</f>
        <v>138941</v>
      </c>
      <c r="I1128" t="str">
        <f t="shared" si="30"/>
        <v>WILSON COUNTY HARDWARE</v>
      </c>
      <c r="J1128" s="2">
        <v>70.01</v>
      </c>
    </row>
    <row r="1129" spans="7:10" ht="15">
      <c r="G1129" t="s">
        <v>13</v>
      </c>
      <c r="H1129" t="str">
        <f>"138946"</f>
        <v>138946</v>
      </c>
      <c r="I1129" t="str">
        <f t="shared" si="30"/>
        <v>WILSON COUNTY HARDWARE</v>
      </c>
      <c r="J1129" s="2">
        <v>9</v>
      </c>
    </row>
    <row r="1130" spans="7:10" ht="15">
      <c r="G1130" t="s">
        <v>13</v>
      </c>
      <c r="H1130" t="str">
        <f>"138947"</f>
        <v>138947</v>
      </c>
      <c r="I1130" t="str">
        <f t="shared" si="30"/>
        <v>WILSON COUNTY HARDWARE</v>
      </c>
      <c r="J1130" s="2">
        <v>29.72</v>
      </c>
    </row>
    <row r="1131" spans="1:10" ht="15">
      <c r="A1131" t="s">
        <v>37</v>
      </c>
      <c r="B1131" t="s">
        <v>11</v>
      </c>
      <c r="C1131">
        <v>53261</v>
      </c>
      <c r="D1131" s="2">
        <v>1369.91</v>
      </c>
      <c r="E1131" s="1">
        <v>42719</v>
      </c>
      <c r="F1131" t="s">
        <v>18</v>
      </c>
      <c r="G1131" t="s">
        <v>13</v>
      </c>
      <c r="H1131" t="str">
        <f>"201612137844"</f>
        <v>201612137844</v>
      </c>
      <c r="I1131" t="str">
        <f>"DEASON ANIMAL HOSPITAL"</f>
        <v>DEASON ANIMAL HOSPITAL</v>
      </c>
      <c r="J1131" s="2">
        <v>1369.91</v>
      </c>
    </row>
    <row r="1132" spans="1:10" ht="15">
      <c r="A1132" t="s">
        <v>109</v>
      </c>
      <c r="B1132" t="s">
        <v>11</v>
      </c>
      <c r="C1132">
        <v>53262</v>
      </c>
      <c r="D1132" s="2">
        <v>800.69</v>
      </c>
      <c r="E1132" s="1">
        <v>42719</v>
      </c>
      <c r="F1132" t="s">
        <v>18</v>
      </c>
      <c r="G1132" t="s">
        <v>13</v>
      </c>
      <c r="H1132" t="str">
        <f>"201612137854"</f>
        <v>201612137854</v>
      </c>
      <c r="I1132" t="str">
        <f>"WILSON COUNTY NEWS"</f>
        <v>WILSON COUNTY NEWS</v>
      </c>
      <c r="J1132" s="2">
        <v>800.69</v>
      </c>
    </row>
    <row r="1133" spans="1:10" ht="15">
      <c r="A1133" t="s">
        <v>110</v>
      </c>
      <c r="B1133" t="s">
        <v>11</v>
      </c>
      <c r="C1133">
        <v>53263</v>
      </c>
      <c r="D1133" s="2">
        <v>120</v>
      </c>
      <c r="E1133" s="1">
        <v>42719</v>
      </c>
      <c r="F1133" t="s">
        <v>18</v>
      </c>
      <c r="G1133" t="s">
        <v>13</v>
      </c>
      <c r="H1133" t="str">
        <f>"8637"</f>
        <v>8637</v>
      </c>
      <c r="I1133" t="str">
        <f>"HILL PEST CONTROL COMPANY"</f>
        <v>HILL PEST CONTROL COMPANY</v>
      </c>
      <c r="J1133" s="2">
        <v>120</v>
      </c>
    </row>
    <row r="1134" spans="1:10" ht="15">
      <c r="A1134" t="s">
        <v>38</v>
      </c>
      <c r="B1134" t="s">
        <v>11</v>
      </c>
      <c r="C1134">
        <v>53264</v>
      </c>
      <c r="D1134" s="2">
        <v>4899.99</v>
      </c>
      <c r="E1134" s="1">
        <v>42719</v>
      </c>
      <c r="F1134" t="s">
        <v>18</v>
      </c>
      <c r="G1134" t="s">
        <v>13</v>
      </c>
      <c r="H1134" t="str">
        <f>"0828670"</f>
        <v>0828670</v>
      </c>
      <c r="I1134" t="str">
        <f>"FERGUSON WATERWORKS - MUNICIPA"</f>
        <v>FERGUSON WATERWORKS - MUNICIPA</v>
      </c>
      <c r="J1134" s="2">
        <v>858.02</v>
      </c>
    </row>
    <row r="1135" spans="7:10" ht="15">
      <c r="G1135" t="s">
        <v>13</v>
      </c>
      <c r="H1135" t="str">
        <f>"0828679"</f>
        <v>0828679</v>
      </c>
      <c r="I1135" t="str">
        <f>"FERGUSON WATERWORKS - MUNICIPA"</f>
        <v>FERGUSON WATERWORKS - MUNICIPA</v>
      </c>
      <c r="J1135" s="2">
        <v>424</v>
      </c>
    </row>
    <row r="1136" spans="7:10" ht="15">
      <c r="G1136" t="s">
        <v>13</v>
      </c>
      <c r="H1136" t="str">
        <f>"0830380"</f>
        <v>0830380</v>
      </c>
      <c r="I1136" t="str">
        <f>"FERGUSON WATERWORKS - MUNICIPA"</f>
        <v>FERGUSON WATERWORKS - MUNICIPA</v>
      </c>
      <c r="J1136" s="2">
        <v>2346.84</v>
      </c>
    </row>
    <row r="1137" spans="7:10" ht="15">
      <c r="G1137" t="s">
        <v>13</v>
      </c>
      <c r="H1137" t="str">
        <f>"0830380-1"</f>
        <v>0830380-1</v>
      </c>
      <c r="I1137" t="str">
        <f>"FERGUSON WATERWORKS - MUNICIPA"</f>
        <v>FERGUSON WATERWORKS - MUNICIPA</v>
      </c>
      <c r="J1137" s="2">
        <v>1210.92</v>
      </c>
    </row>
    <row r="1138" spans="7:10" ht="15">
      <c r="G1138" t="s">
        <v>13</v>
      </c>
      <c r="H1138" t="str">
        <f>"0833986-1"</f>
        <v>0833986-1</v>
      </c>
      <c r="I1138" t="str">
        <f>"FERGUSON WATERWORKS - MUNICIPA"</f>
        <v>FERGUSON WATERWORKS - MUNICIPA</v>
      </c>
      <c r="J1138" s="2">
        <v>60.21</v>
      </c>
    </row>
    <row r="1139" spans="1:10" ht="15">
      <c r="A1139" t="s">
        <v>39</v>
      </c>
      <c r="B1139" t="s">
        <v>11</v>
      </c>
      <c r="C1139">
        <v>53266</v>
      </c>
      <c r="D1139" s="2">
        <v>28</v>
      </c>
      <c r="E1139" s="1">
        <v>42719</v>
      </c>
      <c r="F1139" t="s">
        <v>18</v>
      </c>
      <c r="G1139" t="s">
        <v>13</v>
      </c>
      <c r="H1139" t="str">
        <f>"242642"</f>
        <v>242642</v>
      </c>
      <c r="I1139" t="str">
        <f>"LUBE WORKS"</f>
        <v>LUBE WORKS</v>
      </c>
      <c r="J1139" s="2">
        <v>7</v>
      </c>
    </row>
    <row r="1140" spans="7:10" ht="15">
      <c r="G1140" t="s">
        <v>13</v>
      </c>
      <c r="H1140" t="str">
        <f>"242645"</f>
        <v>242645</v>
      </c>
      <c r="I1140" t="str">
        <f>"LUBE WORKS"</f>
        <v>LUBE WORKS</v>
      </c>
      <c r="J1140" s="2">
        <v>7</v>
      </c>
    </row>
    <row r="1141" spans="7:10" ht="15">
      <c r="G1141" t="s">
        <v>13</v>
      </c>
      <c r="H1141" t="str">
        <f>"242650"</f>
        <v>242650</v>
      </c>
      <c r="I1141" t="str">
        <f>"LUBE WORKS"</f>
        <v>LUBE WORKS</v>
      </c>
      <c r="J1141" s="2">
        <v>7</v>
      </c>
    </row>
    <row r="1142" spans="7:10" ht="15">
      <c r="G1142" t="s">
        <v>13</v>
      </c>
      <c r="H1142" t="str">
        <f>"242919"</f>
        <v>242919</v>
      </c>
      <c r="I1142" t="str">
        <f>"LUBE WORKS"</f>
        <v>LUBE WORKS</v>
      </c>
      <c r="J1142" s="2">
        <v>7</v>
      </c>
    </row>
    <row r="1143" spans="1:10" ht="15">
      <c r="A1143" t="s">
        <v>271</v>
      </c>
      <c r="B1143" t="s">
        <v>11</v>
      </c>
      <c r="C1143">
        <v>53267</v>
      </c>
      <c r="D1143" s="2">
        <v>121</v>
      </c>
      <c r="E1143" s="1">
        <v>42719</v>
      </c>
      <c r="F1143" t="s">
        <v>18</v>
      </c>
      <c r="G1143" t="s">
        <v>13</v>
      </c>
      <c r="H1143" t="str">
        <f>"TACO BELL"</f>
        <v>TACO BELL</v>
      </c>
      <c r="I1143" t="str">
        <f>"WILSON COUNTY CLERK  EVA S. MA"</f>
        <v>WILSON COUNTY CLERK  EVA S. MA</v>
      </c>
      <c r="J1143" s="2">
        <v>121</v>
      </c>
    </row>
    <row r="1144" spans="1:10" ht="15">
      <c r="A1144" t="s">
        <v>186</v>
      </c>
      <c r="B1144" t="s">
        <v>11</v>
      </c>
      <c r="C1144">
        <v>53268</v>
      </c>
      <c r="D1144" s="2">
        <v>169.91</v>
      </c>
      <c r="E1144" s="1">
        <v>42719</v>
      </c>
      <c r="F1144" t="s">
        <v>18</v>
      </c>
      <c r="G1144" t="s">
        <v>13</v>
      </c>
      <c r="H1144" t="str">
        <f>"47786F"</f>
        <v>47786F</v>
      </c>
      <c r="I1144" t="str">
        <f>"ANCIRA FORD-MERCURY"</f>
        <v>ANCIRA FORD-MERCURY</v>
      </c>
      <c r="J1144" s="2">
        <v>35.5</v>
      </c>
    </row>
    <row r="1145" spans="7:10" ht="15">
      <c r="G1145" t="s">
        <v>13</v>
      </c>
      <c r="H1145" t="str">
        <f>"47796F"</f>
        <v>47796F</v>
      </c>
      <c r="I1145" t="str">
        <f>"ANCIRA FORD-MERCURY"</f>
        <v>ANCIRA FORD-MERCURY</v>
      </c>
      <c r="J1145" s="2">
        <v>134.41</v>
      </c>
    </row>
    <row r="1146" spans="1:10" ht="15">
      <c r="A1146" t="s">
        <v>187</v>
      </c>
      <c r="B1146" t="s">
        <v>11</v>
      </c>
      <c r="C1146">
        <v>53269</v>
      </c>
      <c r="D1146" s="2">
        <v>1140</v>
      </c>
      <c r="E1146" s="1">
        <v>42719</v>
      </c>
      <c r="F1146" t="s">
        <v>18</v>
      </c>
      <c r="G1146" t="s">
        <v>13</v>
      </c>
      <c r="H1146" t="str">
        <f>"201612137851"</f>
        <v>201612137851</v>
      </c>
      <c r="I1146" t="str">
        <f>"GLORIA MARTINEZ"</f>
        <v>GLORIA MARTINEZ</v>
      </c>
      <c r="J1146" s="2">
        <v>1140</v>
      </c>
    </row>
    <row r="1147" spans="1:10" ht="15">
      <c r="A1147" t="s">
        <v>43</v>
      </c>
      <c r="B1147" t="s">
        <v>11</v>
      </c>
      <c r="C1147">
        <v>53270</v>
      </c>
      <c r="D1147" s="2">
        <v>41.03</v>
      </c>
      <c r="E1147" s="1">
        <v>42719</v>
      </c>
      <c r="F1147" t="s">
        <v>18</v>
      </c>
      <c r="G1147" t="s">
        <v>13</v>
      </c>
      <c r="H1147" t="str">
        <f>"104521"</f>
        <v>104521</v>
      </c>
      <c r="I1147" t="str">
        <f>"DITTMAR LUMBER CO."</f>
        <v>DITTMAR LUMBER CO.</v>
      </c>
      <c r="J1147" s="2">
        <v>3.58</v>
      </c>
    </row>
    <row r="1148" spans="7:10" ht="15">
      <c r="G1148" t="s">
        <v>13</v>
      </c>
      <c r="H1148" t="str">
        <f>"30111532"</f>
        <v>30111532</v>
      </c>
      <c r="I1148" t="str">
        <f>"DITTMAR LUMBER CO."</f>
        <v>DITTMAR LUMBER CO.</v>
      </c>
      <c r="J1148" s="2">
        <v>37.45</v>
      </c>
    </row>
    <row r="1149" spans="1:10" ht="15">
      <c r="A1149" t="s">
        <v>44</v>
      </c>
      <c r="B1149" t="s">
        <v>11</v>
      </c>
      <c r="C1149">
        <v>53271</v>
      </c>
      <c r="D1149" s="2">
        <v>925.91</v>
      </c>
      <c r="E1149" s="1">
        <v>42719</v>
      </c>
      <c r="F1149" t="s">
        <v>18</v>
      </c>
      <c r="G1149" t="s">
        <v>13</v>
      </c>
      <c r="H1149" t="str">
        <f>"121723"</f>
        <v>121723</v>
      </c>
      <c r="I1149" t="str">
        <f>"USA BLUEBOOK"</f>
        <v>USA BLUEBOOK</v>
      </c>
      <c r="J1149" s="2">
        <v>925.91</v>
      </c>
    </row>
    <row r="1150" spans="1:10" ht="15">
      <c r="A1150" t="s">
        <v>272</v>
      </c>
      <c r="B1150" t="s">
        <v>11</v>
      </c>
      <c r="C1150">
        <v>53272</v>
      </c>
      <c r="D1150" s="2">
        <v>75</v>
      </c>
      <c r="E1150" s="1">
        <v>42719</v>
      </c>
      <c r="F1150" t="s">
        <v>18</v>
      </c>
      <c r="G1150" t="s">
        <v>13</v>
      </c>
      <c r="H1150" t="str">
        <f>"201612137835"</f>
        <v>201612137835</v>
      </c>
      <c r="I1150" t="str">
        <f>"HOL EXT"</f>
        <v>HOL EXT</v>
      </c>
      <c r="J1150" s="2">
        <v>75</v>
      </c>
    </row>
    <row r="1151" spans="1:10" ht="15">
      <c r="A1151" t="s">
        <v>273</v>
      </c>
      <c r="B1151" t="s">
        <v>11</v>
      </c>
      <c r="C1151">
        <v>53273</v>
      </c>
      <c r="D1151" s="2">
        <v>135</v>
      </c>
      <c r="E1151" s="1">
        <v>42719</v>
      </c>
      <c r="F1151" t="s">
        <v>18</v>
      </c>
      <c r="G1151" t="s">
        <v>13</v>
      </c>
      <c r="H1151" t="str">
        <f>"201612137836"</f>
        <v>201612137836</v>
      </c>
      <c r="I1151" t="str">
        <f>"HOLD EXT"</f>
        <v>HOLD EXT</v>
      </c>
      <c r="J1151" s="2">
        <v>135</v>
      </c>
    </row>
    <row r="1152" spans="1:10" ht="15">
      <c r="A1152" t="s">
        <v>274</v>
      </c>
      <c r="B1152" t="s">
        <v>11</v>
      </c>
      <c r="C1152">
        <v>53274</v>
      </c>
      <c r="D1152" s="2">
        <v>75</v>
      </c>
      <c r="E1152" s="1">
        <v>42719</v>
      </c>
      <c r="F1152" t="s">
        <v>18</v>
      </c>
      <c r="G1152" t="s">
        <v>13</v>
      </c>
      <c r="H1152" t="str">
        <f>"201612137837"</f>
        <v>201612137837</v>
      </c>
      <c r="I1152" t="str">
        <f>"HOL EXT"</f>
        <v>HOL EXT</v>
      </c>
      <c r="J1152" s="2">
        <v>75</v>
      </c>
    </row>
    <row r="1153" spans="1:10" ht="15">
      <c r="A1153" t="s">
        <v>275</v>
      </c>
      <c r="B1153" t="s">
        <v>11</v>
      </c>
      <c r="C1153">
        <v>53275</v>
      </c>
      <c r="D1153" s="2">
        <v>75</v>
      </c>
      <c r="E1153" s="1">
        <v>42719</v>
      </c>
      <c r="F1153" t="s">
        <v>18</v>
      </c>
      <c r="G1153" t="s">
        <v>13</v>
      </c>
      <c r="H1153" t="str">
        <f>"201612137838"</f>
        <v>201612137838</v>
      </c>
      <c r="I1153" t="str">
        <f>"HOL EXT"</f>
        <v>HOL EXT</v>
      </c>
      <c r="J1153" s="2">
        <v>75</v>
      </c>
    </row>
    <row r="1154" spans="1:10" ht="15">
      <c r="A1154" t="s">
        <v>276</v>
      </c>
      <c r="B1154" t="s">
        <v>11</v>
      </c>
      <c r="C1154">
        <v>53276</v>
      </c>
      <c r="D1154" s="2">
        <v>75</v>
      </c>
      <c r="E1154" s="1">
        <v>42719</v>
      </c>
      <c r="F1154" t="s">
        <v>18</v>
      </c>
      <c r="G1154" t="s">
        <v>13</v>
      </c>
      <c r="H1154" t="str">
        <f>"201612137839"</f>
        <v>201612137839</v>
      </c>
      <c r="I1154" t="str">
        <f>"HOL EXT"</f>
        <v>HOL EXT</v>
      </c>
      <c r="J1154" s="2">
        <v>75</v>
      </c>
    </row>
    <row r="1155" spans="1:10" ht="15">
      <c r="A1155" t="s">
        <v>198</v>
      </c>
      <c r="B1155" t="s">
        <v>11</v>
      </c>
      <c r="C1155">
        <v>53277</v>
      </c>
      <c r="D1155" s="2">
        <v>400</v>
      </c>
      <c r="E1155" s="1">
        <v>42719</v>
      </c>
      <c r="F1155" t="s">
        <v>18</v>
      </c>
      <c r="G1155" t="s">
        <v>13</v>
      </c>
      <c r="H1155" t="str">
        <f>"201612137852"</f>
        <v>201612137852</v>
      </c>
      <c r="I1155" t="str">
        <f>"HOL EXT"</f>
        <v>HOL EXT</v>
      </c>
      <c r="J1155" s="2">
        <v>400</v>
      </c>
    </row>
    <row r="1156" spans="1:10" ht="15">
      <c r="A1156" t="s">
        <v>257</v>
      </c>
      <c r="B1156" t="s">
        <v>11</v>
      </c>
      <c r="C1156">
        <v>53278</v>
      </c>
      <c r="D1156" s="2">
        <v>80</v>
      </c>
      <c r="E1156" s="1">
        <v>42719</v>
      </c>
      <c r="F1156" t="s">
        <v>18</v>
      </c>
      <c r="G1156" t="s">
        <v>13</v>
      </c>
      <c r="H1156" t="str">
        <f>"B. HERRERA"</f>
        <v>B. HERRERA</v>
      </c>
      <c r="I1156" t="str">
        <f>"TRAINING REIM"</f>
        <v>TRAINING REIM</v>
      </c>
      <c r="J1156" s="2">
        <v>80</v>
      </c>
    </row>
    <row r="1157" spans="1:10" ht="15">
      <c r="A1157" t="s">
        <v>277</v>
      </c>
      <c r="B1157" t="s">
        <v>11</v>
      </c>
      <c r="C1157">
        <v>53279</v>
      </c>
      <c r="D1157" s="2">
        <v>50</v>
      </c>
      <c r="E1157" s="1">
        <v>42719</v>
      </c>
      <c r="F1157" t="s">
        <v>18</v>
      </c>
      <c r="G1157" t="s">
        <v>13</v>
      </c>
      <c r="H1157" t="str">
        <f>"DEP REF"</f>
        <v>DEP REF</v>
      </c>
      <c r="I1157" t="str">
        <f>"BW REFUND"</f>
        <v>BW REFUND</v>
      </c>
      <c r="J1157" s="2">
        <v>50</v>
      </c>
    </row>
    <row r="1158" spans="1:10" ht="15">
      <c r="A1158" t="s">
        <v>278</v>
      </c>
      <c r="B1158" t="s">
        <v>11</v>
      </c>
      <c r="C1158">
        <v>53280</v>
      </c>
      <c r="D1158" s="2">
        <v>75</v>
      </c>
      <c r="E1158" s="1">
        <v>42719</v>
      </c>
      <c r="F1158" t="s">
        <v>18</v>
      </c>
      <c r="G1158" t="s">
        <v>13</v>
      </c>
      <c r="H1158" t="str">
        <f>"HOL EXT"</f>
        <v>HOL EXT</v>
      </c>
      <c r="I1158" t="str">
        <f>"HOL EXT"</f>
        <v>HOL EXT</v>
      </c>
      <c r="J1158" s="2">
        <v>75</v>
      </c>
    </row>
    <row r="1159" spans="1:10" ht="15">
      <c r="A1159" t="s">
        <v>279</v>
      </c>
      <c r="B1159" t="s">
        <v>11</v>
      </c>
      <c r="C1159">
        <v>53281</v>
      </c>
      <c r="D1159" s="2">
        <v>50</v>
      </c>
      <c r="E1159" s="1">
        <v>42719</v>
      </c>
      <c r="F1159" t="s">
        <v>18</v>
      </c>
      <c r="G1159" t="s">
        <v>13</v>
      </c>
      <c r="H1159" t="str">
        <f>"PAV DEP"</f>
        <v>PAV DEP</v>
      </c>
      <c r="I1159" t="str">
        <f>"PAV DEP"</f>
        <v>PAV DEP</v>
      </c>
      <c r="J1159" s="2">
        <v>50</v>
      </c>
    </row>
    <row r="1160" spans="1:10" ht="15">
      <c r="A1160" t="s">
        <v>161</v>
      </c>
      <c r="B1160" t="s">
        <v>11</v>
      </c>
      <c r="C1160">
        <v>53282</v>
      </c>
      <c r="D1160" s="2">
        <v>2117.14</v>
      </c>
      <c r="E1160" s="1">
        <v>42719</v>
      </c>
      <c r="F1160" t="s">
        <v>18</v>
      </c>
      <c r="G1160" t="s">
        <v>13</v>
      </c>
      <c r="H1160" t="str">
        <f>"025-173953"</f>
        <v>025-173953</v>
      </c>
      <c r="I1160" t="str">
        <f>"TYLER TECHNOLOGIES  INC."</f>
        <v>TYLER TECHNOLOGIES  INC.</v>
      </c>
      <c r="J1160" s="2">
        <v>1929.14</v>
      </c>
    </row>
    <row r="1161" spans="7:10" ht="15">
      <c r="G1161" t="s">
        <v>13</v>
      </c>
      <c r="H1161" t="str">
        <f>"025-174598"</f>
        <v>025-174598</v>
      </c>
      <c r="I1161" t="str">
        <f>"TYLER TECHNOLOGIES  INC."</f>
        <v>TYLER TECHNOLOGIES  INC.</v>
      </c>
      <c r="J1161" s="2">
        <v>188</v>
      </c>
    </row>
    <row r="1162" spans="1:10" ht="15">
      <c r="A1162" t="s">
        <v>93</v>
      </c>
      <c r="B1162" t="s">
        <v>11</v>
      </c>
      <c r="C1162">
        <v>53283</v>
      </c>
      <c r="D1162" s="2">
        <v>153</v>
      </c>
      <c r="E1162" s="1">
        <v>42719</v>
      </c>
      <c r="F1162" t="s">
        <v>18</v>
      </c>
      <c r="G1162" t="s">
        <v>13</v>
      </c>
      <c r="H1162" t="str">
        <f>"52093"</f>
        <v>52093</v>
      </c>
      <c r="I1162" t="str">
        <f>"SBS ADMINISTRATIVE SERVICES  L"</f>
        <v>SBS ADMINISTRATIVE SERVICES  L</v>
      </c>
      <c r="J1162" s="2">
        <v>153</v>
      </c>
    </row>
    <row r="1163" spans="1:10" ht="15">
      <c r="A1163" t="s">
        <v>280</v>
      </c>
      <c r="B1163" t="s">
        <v>11</v>
      </c>
      <c r="C1163">
        <v>53284</v>
      </c>
      <c r="D1163" s="2">
        <v>220.97</v>
      </c>
      <c r="E1163" s="1">
        <v>42719</v>
      </c>
      <c r="F1163" t="s">
        <v>18</v>
      </c>
      <c r="G1163" t="s">
        <v>13</v>
      </c>
      <c r="H1163" t="str">
        <f>"201612137853"</f>
        <v>201612137853</v>
      </c>
      <c r="I1163" t="str">
        <f>"MARGARET TEJADA"</f>
        <v>MARGARET TEJADA</v>
      </c>
      <c r="J1163" s="2">
        <v>97.99</v>
      </c>
    </row>
    <row r="1164" spans="7:10" ht="15">
      <c r="G1164" t="s">
        <v>13</v>
      </c>
      <c r="H1164" t="str">
        <f>"REFUND"</f>
        <v>REFUND</v>
      </c>
      <c r="I1164" t="str">
        <f>"MARGARET TEJADA"</f>
        <v>MARGARET TEJADA</v>
      </c>
      <c r="J1164" s="2">
        <v>122.98</v>
      </c>
    </row>
    <row r="1165" spans="1:10" ht="15">
      <c r="A1165" t="s">
        <v>48</v>
      </c>
      <c r="B1165" t="s">
        <v>11</v>
      </c>
      <c r="C1165">
        <v>53285</v>
      </c>
      <c r="D1165" s="2">
        <v>229.98</v>
      </c>
      <c r="E1165" s="1">
        <v>42719</v>
      </c>
      <c r="F1165" t="s">
        <v>18</v>
      </c>
      <c r="G1165" t="s">
        <v>13</v>
      </c>
      <c r="H1165" t="str">
        <f>"3547790587"</f>
        <v>3547790587</v>
      </c>
      <c r="I1165" t="str">
        <f>"AUTOZONE"</f>
        <v>AUTOZONE</v>
      </c>
      <c r="J1165" s="2">
        <v>229.98</v>
      </c>
    </row>
    <row r="1166" spans="1:10" ht="15">
      <c r="A1166" t="s">
        <v>163</v>
      </c>
      <c r="B1166" t="s">
        <v>11</v>
      </c>
      <c r="C1166">
        <v>53286</v>
      </c>
      <c r="D1166" s="2">
        <v>780.09</v>
      </c>
      <c r="E1166" s="1">
        <v>42719</v>
      </c>
      <c r="F1166" t="s">
        <v>18</v>
      </c>
      <c r="G1166" t="s">
        <v>13</v>
      </c>
      <c r="H1166" t="str">
        <f>"8402981402"</f>
        <v>8402981402</v>
      </c>
      <c r="I1166" t="str">
        <f>"CINTAS CORPORATION"</f>
        <v>CINTAS CORPORATION</v>
      </c>
      <c r="J1166" s="2">
        <v>780.09</v>
      </c>
    </row>
    <row r="1167" spans="1:10" ht="15">
      <c r="A1167" t="s">
        <v>281</v>
      </c>
      <c r="B1167" t="s">
        <v>11</v>
      </c>
      <c r="C1167">
        <v>53287</v>
      </c>
      <c r="D1167" s="2">
        <v>10643.45</v>
      </c>
      <c r="E1167" s="1">
        <v>42719</v>
      </c>
      <c r="F1167" t="s">
        <v>18</v>
      </c>
      <c r="G1167" t="s">
        <v>13</v>
      </c>
      <c r="H1167" t="str">
        <f>"4/2016-11/2016"</f>
        <v>4/2016-11/2016</v>
      </c>
      <c r="I1167" t="str">
        <f>"LINEBARGER GOGGAN BLAIR &amp; SAMP"</f>
        <v>LINEBARGER GOGGAN BLAIR &amp; SAMP</v>
      </c>
      <c r="J1167" s="2">
        <v>10643.45</v>
      </c>
    </row>
    <row r="1168" spans="1:10" ht="15">
      <c r="A1168" t="s">
        <v>52</v>
      </c>
      <c r="B1168" t="s">
        <v>11</v>
      </c>
      <c r="C1168">
        <v>53288</v>
      </c>
      <c r="D1168" s="2">
        <v>340</v>
      </c>
      <c r="E1168" s="1">
        <v>42719</v>
      </c>
      <c r="F1168" t="s">
        <v>18</v>
      </c>
      <c r="G1168" t="s">
        <v>13</v>
      </c>
      <c r="H1168" t="str">
        <f>"48424"</f>
        <v>48424</v>
      </c>
      <c r="I1168" t="str">
        <f>"LOPEZ EXTERMINATING SERVICE  I"</f>
        <v>LOPEZ EXTERMINATING SERVICE  I</v>
      </c>
      <c r="J1168" s="2">
        <v>340</v>
      </c>
    </row>
    <row r="1169" spans="1:10" ht="15">
      <c r="A1169" t="s">
        <v>236</v>
      </c>
      <c r="B1169" t="s">
        <v>11</v>
      </c>
      <c r="C1169">
        <v>53289</v>
      </c>
      <c r="D1169" s="2">
        <v>243.63</v>
      </c>
      <c r="E1169" s="1">
        <v>42719</v>
      </c>
      <c r="F1169" t="s">
        <v>18</v>
      </c>
      <c r="G1169" t="s">
        <v>13</v>
      </c>
      <c r="H1169" t="str">
        <f>"201612137841"</f>
        <v>201612137841</v>
      </c>
      <c r="I1169" t="str">
        <f>"ANYTIME FITNESS"</f>
        <v>ANYTIME FITNESS</v>
      </c>
      <c r="J1169" s="2">
        <v>243.63</v>
      </c>
    </row>
    <row r="1170" spans="1:10" ht="15">
      <c r="A1170" t="s">
        <v>55</v>
      </c>
      <c r="B1170" t="s">
        <v>11</v>
      </c>
      <c r="C1170">
        <v>53290</v>
      </c>
      <c r="D1170" s="2">
        <v>12.5</v>
      </c>
      <c r="E1170" s="1">
        <v>42719</v>
      </c>
      <c r="F1170" t="s">
        <v>18</v>
      </c>
      <c r="G1170" t="s">
        <v>13</v>
      </c>
      <c r="H1170" t="str">
        <f>"26676"</f>
        <v>26676</v>
      </c>
      <c r="I1170" t="str">
        <f>"PRUSKI'S TIRE SHOP  L.L.C."</f>
        <v>PRUSKI'S TIRE SHOP  L.L.C.</v>
      </c>
      <c r="J1170" s="2">
        <v>12.5</v>
      </c>
    </row>
    <row r="1171" spans="1:10" ht="15">
      <c r="A1171" t="s">
        <v>115</v>
      </c>
      <c r="B1171" t="s">
        <v>11</v>
      </c>
      <c r="C1171">
        <v>53291</v>
      </c>
      <c r="D1171" s="2">
        <v>2349.72</v>
      </c>
      <c r="E1171" s="1">
        <v>42719</v>
      </c>
      <c r="F1171" t="s">
        <v>18</v>
      </c>
      <c r="G1171" t="s">
        <v>13</v>
      </c>
      <c r="H1171" t="str">
        <f>"62059856"</f>
        <v>62059856</v>
      </c>
      <c r="I1171" t="str">
        <f>"VERIZON BUSINESS"</f>
        <v>VERIZON BUSINESS</v>
      </c>
      <c r="J1171" s="2">
        <v>583.77</v>
      </c>
    </row>
    <row r="1172" spans="7:10" ht="15">
      <c r="G1172" t="s">
        <v>13</v>
      </c>
      <c r="H1172" t="str">
        <f>"69953478"</f>
        <v>69953478</v>
      </c>
      <c r="I1172" t="str">
        <f>"VERIZON BUSINESS"</f>
        <v>VERIZON BUSINESS</v>
      </c>
      <c r="J1172" s="2">
        <v>971.71</v>
      </c>
    </row>
    <row r="1173" spans="7:10" ht="15">
      <c r="G1173" t="s">
        <v>13</v>
      </c>
      <c r="H1173" t="str">
        <f>"69953851"</f>
        <v>69953851</v>
      </c>
      <c r="I1173" t="str">
        <f>"VERIZON BUSINESS"</f>
        <v>VERIZON BUSINESS</v>
      </c>
      <c r="J1173" s="2">
        <v>794.24</v>
      </c>
    </row>
    <row r="1174" spans="1:10" ht="15">
      <c r="A1174" t="s">
        <v>56</v>
      </c>
      <c r="B1174" t="s">
        <v>11</v>
      </c>
      <c r="C1174">
        <v>53292</v>
      </c>
      <c r="D1174" s="2">
        <v>1300</v>
      </c>
      <c r="E1174" s="1">
        <v>42719</v>
      </c>
      <c r="F1174" t="s">
        <v>18</v>
      </c>
      <c r="G1174" t="s">
        <v>13</v>
      </c>
      <c r="H1174" t="str">
        <f>"0355844-IN"</f>
        <v>0355844-IN</v>
      </c>
      <c r="I1174" t="str">
        <f>"SOUTHWASTE DISPOSAL  LLP"</f>
        <v>SOUTHWASTE DISPOSAL  LLP</v>
      </c>
      <c r="J1174" s="2">
        <v>400</v>
      </c>
    </row>
    <row r="1175" spans="7:10" ht="15">
      <c r="G1175" t="s">
        <v>13</v>
      </c>
      <c r="H1175" t="str">
        <f>"0356939-IN"</f>
        <v>0356939-IN</v>
      </c>
      <c r="I1175" t="str">
        <f>"SOUTHWASTE DISPOSAL  LLP"</f>
        <v>SOUTHWASTE DISPOSAL  LLP</v>
      </c>
      <c r="J1175" s="2">
        <v>900</v>
      </c>
    </row>
    <row r="1176" spans="1:10" ht="15">
      <c r="A1176" t="s">
        <v>59</v>
      </c>
      <c r="B1176" t="s">
        <v>11</v>
      </c>
      <c r="C1176">
        <v>53293</v>
      </c>
      <c r="D1176" s="2">
        <v>151.46</v>
      </c>
      <c r="E1176" s="1">
        <v>42719</v>
      </c>
      <c r="F1176" t="s">
        <v>18</v>
      </c>
      <c r="G1176" t="s">
        <v>13</v>
      </c>
      <c r="H1176" t="str">
        <f>"3377897"</f>
        <v>3377897</v>
      </c>
      <c r="I1176" t="str">
        <f>"EWALD TRACTOR SUPPLY"</f>
        <v>EWALD TRACTOR SUPPLY</v>
      </c>
      <c r="J1176" s="2">
        <v>151.46</v>
      </c>
    </row>
    <row r="1177" spans="1:10" ht="15">
      <c r="A1177" t="s">
        <v>62</v>
      </c>
      <c r="B1177" t="s">
        <v>11</v>
      </c>
      <c r="C1177">
        <v>53294</v>
      </c>
      <c r="D1177" s="2">
        <v>611.58</v>
      </c>
      <c r="E1177" s="1">
        <v>42719</v>
      </c>
      <c r="F1177" t="s">
        <v>18</v>
      </c>
      <c r="G1177" t="s">
        <v>13</v>
      </c>
      <c r="H1177" t="str">
        <f>"E57078-IN"</f>
        <v>E57078-IN</v>
      </c>
      <c r="I1177" t="str">
        <f>"FIDLAR ELECTION SERVICES"</f>
        <v>FIDLAR ELECTION SERVICES</v>
      </c>
      <c r="J1177" s="2">
        <v>611.58</v>
      </c>
    </row>
    <row r="1178" spans="1:10" ht="15">
      <c r="A1178" t="s">
        <v>240</v>
      </c>
      <c r="B1178" t="s">
        <v>11</v>
      </c>
      <c r="C1178">
        <v>53295</v>
      </c>
      <c r="D1178" s="2">
        <v>112.42</v>
      </c>
      <c r="E1178" s="1">
        <v>42719</v>
      </c>
      <c r="F1178" t="s">
        <v>18</v>
      </c>
      <c r="G1178" t="s">
        <v>13</v>
      </c>
      <c r="H1178" t="str">
        <f>"37337"</f>
        <v>37337</v>
      </c>
      <c r="I1178" t="str">
        <f>"PHOTOGRAPHS BY JIM"</f>
        <v>PHOTOGRAPHS BY JIM</v>
      </c>
      <c r="J1178" s="2">
        <v>112.42</v>
      </c>
    </row>
    <row r="1179" spans="1:10" ht="15">
      <c r="A1179" t="s">
        <v>116</v>
      </c>
      <c r="B1179" t="s">
        <v>11</v>
      </c>
      <c r="C1179">
        <v>53296</v>
      </c>
      <c r="D1179" s="2">
        <v>72.95</v>
      </c>
      <c r="E1179" s="1">
        <v>42719</v>
      </c>
      <c r="F1179" t="s">
        <v>18</v>
      </c>
      <c r="G1179" t="s">
        <v>13</v>
      </c>
      <c r="H1179" t="str">
        <f>"A906307"</f>
        <v>A906307</v>
      </c>
      <c r="I1179" t="str">
        <f>"TEXAS WIRED MUSIC  INC."</f>
        <v>TEXAS WIRED MUSIC  INC.</v>
      </c>
      <c r="J1179" s="2">
        <v>72.95</v>
      </c>
    </row>
    <row r="1180" spans="1:10" ht="15">
      <c r="A1180" t="s">
        <v>241</v>
      </c>
      <c r="B1180" t="s">
        <v>11</v>
      </c>
      <c r="C1180">
        <v>53297</v>
      </c>
      <c r="D1180" s="2">
        <v>549.75</v>
      </c>
      <c r="E1180" s="1">
        <v>42719</v>
      </c>
      <c r="F1180" t="s">
        <v>18</v>
      </c>
      <c r="G1180" t="s">
        <v>13</v>
      </c>
      <c r="H1180" t="str">
        <f>"733262"</f>
        <v>733262</v>
      </c>
      <c r="I1180" t="str">
        <f>"LARRY SRALLA ELECTRIC"</f>
        <v>LARRY SRALLA ELECTRIC</v>
      </c>
      <c r="J1180" s="2">
        <v>437.25</v>
      </c>
    </row>
    <row r="1181" spans="7:10" ht="15">
      <c r="G1181" t="s">
        <v>13</v>
      </c>
      <c r="H1181" t="str">
        <f>"733266"</f>
        <v>733266</v>
      </c>
      <c r="I1181" t="str">
        <f>"LARRY SRALLA ELECTRIC"</f>
        <v>LARRY SRALLA ELECTRIC</v>
      </c>
      <c r="J1181" s="2">
        <v>112.5</v>
      </c>
    </row>
    <row r="1182" spans="1:10" ht="15">
      <c r="A1182" t="s">
        <v>205</v>
      </c>
      <c r="B1182" t="s">
        <v>11</v>
      </c>
      <c r="C1182">
        <v>53298</v>
      </c>
      <c r="D1182" s="2">
        <v>3703.06</v>
      </c>
      <c r="E1182" s="1">
        <v>42719</v>
      </c>
      <c r="F1182" t="s">
        <v>18</v>
      </c>
      <c r="G1182" t="s">
        <v>13</v>
      </c>
      <c r="H1182" t="str">
        <f>"46997125"</f>
        <v>46997125</v>
      </c>
      <c r="I1182" t="str">
        <f>"ACCOUNTEMPS"</f>
        <v>ACCOUNTEMPS</v>
      </c>
      <c r="J1182" s="2">
        <v>1072.94</v>
      </c>
    </row>
    <row r="1183" spans="7:10" ht="15">
      <c r="G1183" t="s">
        <v>13</v>
      </c>
      <c r="H1183" t="str">
        <f>"47178310"</f>
        <v>47178310</v>
      </c>
      <c r="I1183" t="str">
        <f>"ACCOUNTEMPS"</f>
        <v>ACCOUNTEMPS</v>
      </c>
      <c r="J1183" s="2">
        <v>911.52</v>
      </c>
    </row>
    <row r="1184" spans="7:10" ht="15">
      <c r="G1184" t="s">
        <v>13</v>
      </c>
      <c r="H1184" t="str">
        <f>"47245473"</f>
        <v>47245473</v>
      </c>
      <c r="I1184" t="str">
        <f>"ACCOUNTEMPS"</f>
        <v>ACCOUNTEMPS</v>
      </c>
      <c r="J1184" s="2">
        <v>1718.6</v>
      </c>
    </row>
    <row r="1185" spans="1:10" ht="15">
      <c r="A1185" t="s">
        <v>63</v>
      </c>
      <c r="B1185" t="s">
        <v>11</v>
      </c>
      <c r="C1185">
        <v>53299</v>
      </c>
      <c r="D1185" s="2">
        <v>1028.63</v>
      </c>
      <c r="E1185" s="1">
        <v>42719</v>
      </c>
      <c r="F1185" t="s">
        <v>18</v>
      </c>
      <c r="G1185" t="s">
        <v>13</v>
      </c>
      <c r="H1185" t="str">
        <f>"087519532"</f>
        <v>087519532</v>
      </c>
      <c r="I1185" t="str">
        <f>"CINTAS CORPORATION #087"</f>
        <v>CINTAS CORPORATION #087</v>
      </c>
      <c r="J1185" s="2">
        <v>206.96</v>
      </c>
    </row>
    <row r="1186" spans="7:10" ht="15">
      <c r="G1186" t="s">
        <v>13</v>
      </c>
      <c r="H1186" t="str">
        <f>"087535999"</f>
        <v>087535999</v>
      </c>
      <c r="I1186" t="str">
        <f>"CINTAS CORPORATION #087"</f>
        <v>CINTAS CORPORATION #087</v>
      </c>
      <c r="J1186" s="2">
        <v>197.85</v>
      </c>
    </row>
    <row r="1187" spans="7:10" ht="15">
      <c r="G1187" t="s">
        <v>13</v>
      </c>
      <c r="H1187" t="str">
        <f>"087540099"</f>
        <v>087540099</v>
      </c>
      <c r="I1187" t="str">
        <f>"CINTAS CORPORATION #087"</f>
        <v>CINTAS CORPORATION #087</v>
      </c>
      <c r="J1187" s="2">
        <v>229</v>
      </c>
    </row>
    <row r="1188" spans="7:10" ht="15">
      <c r="G1188" t="s">
        <v>13</v>
      </c>
      <c r="H1188" t="str">
        <f>"087544209"</f>
        <v>087544209</v>
      </c>
      <c r="I1188" t="str">
        <f>"CINTAS CORPORATION #087"</f>
        <v>CINTAS CORPORATION #087</v>
      </c>
      <c r="J1188" s="2">
        <v>197.41</v>
      </c>
    </row>
    <row r="1189" spans="7:10" ht="15">
      <c r="G1189" t="s">
        <v>13</v>
      </c>
      <c r="H1189" t="str">
        <f>"087548307"</f>
        <v>087548307</v>
      </c>
      <c r="I1189" t="str">
        <f>"CINTAS CORPORATION #087"</f>
        <v>CINTAS CORPORATION #087</v>
      </c>
      <c r="J1189" s="2">
        <v>197.41</v>
      </c>
    </row>
    <row r="1190" spans="1:10" ht="15">
      <c r="A1190" t="s">
        <v>282</v>
      </c>
      <c r="B1190" t="s">
        <v>11</v>
      </c>
      <c r="C1190">
        <v>53303</v>
      </c>
      <c r="D1190" s="2">
        <v>745.1</v>
      </c>
      <c r="E1190" s="1">
        <v>42719</v>
      </c>
      <c r="F1190" t="s">
        <v>18</v>
      </c>
      <c r="G1190" t="s">
        <v>13</v>
      </c>
      <c r="H1190" t="str">
        <f>"350098"</f>
        <v>350098</v>
      </c>
      <c r="I1190" t="str">
        <f>"WESCO RECEIVABLES CORP."</f>
        <v>WESCO RECEIVABLES CORP.</v>
      </c>
      <c r="J1190" s="2">
        <v>619.1</v>
      </c>
    </row>
    <row r="1191" spans="7:10" ht="15">
      <c r="G1191" t="s">
        <v>13</v>
      </c>
      <c r="H1191" t="str">
        <f>"351834"</f>
        <v>351834</v>
      </c>
      <c r="I1191" t="str">
        <f>"WESCO RECEIVABLES CORP."</f>
        <v>WESCO RECEIVABLES CORP.</v>
      </c>
      <c r="J1191" s="2">
        <v>126</v>
      </c>
    </row>
    <row r="1192" spans="1:10" ht="15">
      <c r="A1192" t="s">
        <v>65</v>
      </c>
      <c r="B1192" t="s">
        <v>11</v>
      </c>
      <c r="C1192">
        <v>53304</v>
      </c>
      <c r="D1192" s="2">
        <v>3281.19</v>
      </c>
      <c r="E1192" s="1">
        <v>42719</v>
      </c>
      <c r="F1192" t="s">
        <v>18</v>
      </c>
      <c r="G1192" t="s">
        <v>13</v>
      </c>
      <c r="H1192" t="str">
        <f>"9775907222"</f>
        <v>9775907222</v>
      </c>
      <c r="I1192" t="str">
        <f>"VERIZON WIRELESS"</f>
        <v>VERIZON WIRELESS</v>
      </c>
      <c r="J1192" s="2">
        <v>3083.76</v>
      </c>
    </row>
    <row r="1193" spans="7:10" ht="15">
      <c r="G1193" t="s">
        <v>13</v>
      </c>
      <c r="H1193" t="str">
        <f>"9775907223"</f>
        <v>9775907223</v>
      </c>
      <c r="I1193" t="str">
        <f>"VERIZON WIRELESS"</f>
        <v>VERIZON WIRELESS</v>
      </c>
      <c r="J1193" s="2">
        <v>197.43</v>
      </c>
    </row>
    <row r="1194" spans="1:10" ht="15">
      <c r="A1194" t="s">
        <v>66</v>
      </c>
      <c r="B1194" t="s">
        <v>11</v>
      </c>
      <c r="C1194">
        <v>53306</v>
      </c>
      <c r="D1194" s="2">
        <v>100</v>
      </c>
      <c r="E1194" s="1">
        <v>42719</v>
      </c>
      <c r="F1194" t="s">
        <v>18</v>
      </c>
      <c r="G1194" t="s">
        <v>13</v>
      </c>
      <c r="H1194" t="str">
        <f>"NOV2016"</f>
        <v>NOV2016</v>
      </c>
      <c r="I1194" t="str">
        <f>"WILSON COUNTY AUDITOR"</f>
        <v>WILSON COUNTY AUDITOR</v>
      </c>
      <c r="J1194" s="2">
        <v>100</v>
      </c>
    </row>
    <row r="1195" spans="1:10" ht="15">
      <c r="A1195" t="s">
        <v>67</v>
      </c>
      <c r="B1195" t="s">
        <v>11</v>
      </c>
      <c r="C1195">
        <v>53307</v>
      </c>
      <c r="D1195" s="2">
        <v>464.5</v>
      </c>
      <c r="E1195" s="1">
        <v>42719</v>
      </c>
      <c r="F1195" t="s">
        <v>18</v>
      </c>
      <c r="G1195" t="s">
        <v>13</v>
      </c>
      <c r="H1195" t="str">
        <f>"12/13/16"</f>
        <v>12/13/16</v>
      </c>
      <c r="I1195" t="str">
        <f>"MARIA GONZALES"</f>
        <v>MARIA GONZALES</v>
      </c>
      <c r="J1195" s="2">
        <v>464.5</v>
      </c>
    </row>
    <row r="1196" spans="1:10" ht="15">
      <c r="A1196" t="s">
        <v>68</v>
      </c>
      <c r="B1196" t="s">
        <v>11</v>
      </c>
      <c r="C1196">
        <v>53308</v>
      </c>
      <c r="D1196" s="2">
        <v>1593.3</v>
      </c>
      <c r="E1196" s="1">
        <v>42719</v>
      </c>
      <c r="F1196" t="s">
        <v>18</v>
      </c>
      <c r="G1196" t="s">
        <v>13</v>
      </c>
      <c r="H1196" t="str">
        <f>"879757961001"</f>
        <v>879757961001</v>
      </c>
      <c r="I1196" t="str">
        <f aca="true" t="shared" si="31" ref="I1196:I1207">"OFFICE DEPOT  INC."</f>
        <v>OFFICE DEPOT  INC.</v>
      </c>
      <c r="J1196" s="2">
        <v>65.31</v>
      </c>
    </row>
    <row r="1197" spans="7:10" ht="15">
      <c r="G1197" t="s">
        <v>13</v>
      </c>
      <c r="H1197" t="str">
        <f>"880036831001"</f>
        <v>880036831001</v>
      </c>
      <c r="I1197" t="str">
        <f t="shared" si="31"/>
        <v>OFFICE DEPOT  INC.</v>
      </c>
      <c r="J1197" s="2">
        <v>247.08</v>
      </c>
    </row>
    <row r="1198" spans="7:10" ht="15">
      <c r="G1198" t="s">
        <v>13</v>
      </c>
      <c r="H1198" t="str">
        <f>"880037106001"</f>
        <v>880037106001</v>
      </c>
      <c r="I1198" t="str">
        <f t="shared" si="31"/>
        <v>OFFICE DEPOT  INC.</v>
      </c>
      <c r="J1198" s="2">
        <v>391.04</v>
      </c>
    </row>
    <row r="1199" spans="7:10" ht="15">
      <c r="G1199" t="s">
        <v>13</v>
      </c>
      <c r="H1199" t="str">
        <f>"881747081001"</f>
        <v>881747081001</v>
      </c>
      <c r="I1199" t="str">
        <f t="shared" si="31"/>
        <v>OFFICE DEPOT  INC.</v>
      </c>
      <c r="J1199" s="2">
        <v>223.38</v>
      </c>
    </row>
    <row r="1200" spans="7:10" ht="15">
      <c r="G1200" t="s">
        <v>13</v>
      </c>
      <c r="H1200" t="str">
        <f>"881852713001"</f>
        <v>881852713001</v>
      </c>
      <c r="I1200" t="str">
        <f t="shared" si="31"/>
        <v>OFFICE DEPOT  INC.</v>
      </c>
      <c r="J1200" s="2">
        <v>156.28</v>
      </c>
    </row>
    <row r="1201" spans="7:10" ht="15">
      <c r="G1201" t="s">
        <v>13</v>
      </c>
      <c r="H1201" t="str">
        <f>"883382906001"</f>
        <v>883382906001</v>
      </c>
      <c r="I1201" t="str">
        <f t="shared" si="31"/>
        <v>OFFICE DEPOT  INC.</v>
      </c>
      <c r="J1201" s="2">
        <v>253.09</v>
      </c>
    </row>
    <row r="1202" spans="7:10" ht="15">
      <c r="G1202" t="s">
        <v>13</v>
      </c>
      <c r="H1202" t="str">
        <f>"883547201001"</f>
        <v>883547201001</v>
      </c>
      <c r="I1202" t="str">
        <f t="shared" si="31"/>
        <v>OFFICE DEPOT  INC.</v>
      </c>
      <c r="J1202" s="2">
        <v>24.9</v>
      </c>
    </row>
    <row r="1203" spans="7:10" ht="15">
      <c r="G1203" t="s">
        <v>13</v>
      </c>
      <c r="H1203" t="str">
        <f>"883547701001"</f>
        <v>883547701001</v>
      </c>
      <c r="I1203" t="str">
        <f t="shared" si="31"/>
        <v>OFFICE DEPOT  INC.</v>
      </c>
      <c r="J1203" s="2">
        <v>107.99</v>
      </c>
    </row>
    <row r="1204" spans="7:10" ht="15">
      <c r="G1204" t="s">
        <v>13</v>
      </c>
      <c r="H1204" t="str">
        <f>"883547702001"</f>
        <v>883547702001</v>
      </c>
      <c r="I1204" t="str">
        <f t="shared" si="31"/>
        <v>OFFICE DEPOT  INC.</v>
      </c>
      <c r="J1204" s="2">
        <v>41.47</v>
      </c>
    </row>
    <row r="1205" spans="7:10" ht="15">
      <c r="G1205" t="s">
        <v>13</v>
      </c>
      <c r="H1205" t="str">
        <f>"883547703001"</f>
        <v>883547703001</v>
      </c>
      <c r="I1205" t="str">
        <f t="shared" si="31"/>
        <v>OFFICE DEPOT  INC.</v>
      </c>
      <c r="J1205" s="2">
        <v>20.78</v>
      </c>
    </row>
    <row r="1206" spans="7:10" ht="15">
      <c r="G1206" t="s">
        <v>13</v>
      </c>
      <c r="H1206" t="str">
        <f>"883547704001"</f>
        <v>883547704001</v>
      </c>
      <c r="I1206" t="str">
        <f t="shared" si="31"/>
        <v>OFFICE DEPOT  INC.</v>
      </c>
      <c r="J1206" s="2">
        <v>49.38</v>
      </c>
    </row>
    <row r="1207" spans="7:10" ht="15">
      <c r="G1207" t="s">
        <v>13</v>
      </c>
      <c r="H1207" t="str">
        <f>"883547705001"</f>
        <v>883547705001</v>
      </c>
      <c r="I1207" t="str">
        <f t="shared" si="31"/>
        <v>OFFICE DEPOT  INC.</v>
      </c>
      <c r="J1207" s="2">
        <v>12.6</v>
      </c>
    </row>
    <row r="1208" spans="1:10" ht="15">
      <c r="A1208" t="s">
        <v>118</v>
      </c>
      <c r="B1208" t="s">
        <v>11</v>
      </c>
      <c r="C1208">
        <v>53310</v>
      </c>
      <c r="D1208" s="2">
        <v>520.18</v>
      </c>
      <c r="E1208" s="1">
        <v>42719</v>
      </c>
      <c r="F1208" t="s">
        <v>18</v>
      </c>
      <c r="G1208" t="s">
        <v>13</v>
      </c>
      <c r="H1208" t="str">
        <f>"11/29/16"</f>
        <v>11/29/16</v>
      </c>
      <c r="I1208" t="str">
        <f>"TRACTOR SUPPLY CREDIT PLAN"</f>
        <v>TRACTOR SUPPLY CREDIT PLAN</v>
      </c>
      <c r="J1208" s="2">
        <v>520.18</v>
      </c>
    </row>
    <row r="1209" spans="1:10" ht="15">
      <c r="A1209" t="s">
        <v>119</v>
      </c>
      <c r="B1209" t="s">
        <v>11</v>
      </c>
      <c r="C1209">
        <v>53311</v>
      </c>
      <c r="D1209" s="2">
        <v>1968.8</v>
      </c>
      <c r="E1209" s="1">
        <v>42719</v>
      </c>
      <c r="F1209" t="s">
        <v>18</v>
      </c>
      <c r="G1209" t="s">
        <v>13</v>
      </c>
      <c r="H1209" t="str">
        <f>"857002332-16"</f>
        <v>857002332-16</v>
      </c>
      <c r="I1209" t="str">
        <f>"DPC INDUSTRIES  INC."</f>
        <v>DPC INDUSTRIES  INC.</v>
      </c>
      <c r="J1209" s="2">
        <v>721.44</v>
      </c>
    </row>
    <row r="1210" spans="7:10" ht="15">
      <c r="G1210" t="s">
        <v>13</v>
      </c>
      <c r="H1210" t="str">
        <f>"857002369-16"</f>
        <v>857002369-16</v>
      </c>
      <c r="I1210" t="str">
        <f>"DPC INDUSTRIES  INC."</f>
        <v>DPC INDUSTRIES  INC.</v>
      </c>
      <c r="J1210" s="2">
        <v>927.36</v>
      </c>
    </row>
    <row r="1211" spans="7:10" ht="15">
      <c r="G1211" t="s">
        <v>13</v>
      </c>
      <c r="H1211" t="str">
        <f>"DE85002714-16"</f>
        <v>DE85002714-16</v>
      </c>
      <c r="I1211" t="str">
        <f>"DPC INDUSTRIES  INC."</f>
        <v>DPC INDUSTRIES  INC.</v>
      </c>
      <c r="J1211" s="2">
        <v>200</v>
      </c>
    </row>
    <row r="1212" spans="7:10" ht="15">
      <c r="G1212" t="s">
        <v>13</v>
      </c>
      <c r="H1212" t="str">
        <f>"DE85002953-16"</f>
        <v>DE85002953-16</v>
      </c>
      <c r="I1212" t="str">
        <f>"DPC INDUSTRIES  INC."</f>
        <v>DPC INDUSTRIES  INC.</v>
      </c>
      <c r="J1212" s="2">
        <v>120</v>
      </c>
    </row>
    <row r="1213" spans="1:10" ht="15">
      <c r="A1213" t="s">
        <v>120</v>
      </c>
      <c r="B1213" t="s">
        <v>11</v>
      </c>
      <c r="C1213">
        <v>53312</v>
      </c>
      <c r="D1213" s="2">
        <v>601.54</v>
      </c>
      <c r="E1213" s="1">
        <v>42719</v>
      </c>
      <c r="F1213" t="s">
        <v>18</v>
      </c>
      <c r="G1213" t="s">
        <v>13</v>
      </c>
      <c r="H1213" t="str">
        <f>"11137430"</f>
        <v>11137430</v>
      </c>
      <c r="I1213" t="str">
        <f aca="true" t="shared" si="32" ref="I1213:I1220">"MCCOY'S CORPORATION"</f>
        <v>MCCOY'S CORPORATION</v>
      </c>
      <c r="J1213" s="2">
        <v>166.12</v>
      </c>
    </row>
    <row r="1214" spans="7:10" ht="15">
      <c r="G1214" t="s">
        <v>13</v>
      </c>
      <c r="H1214" t="str">
        <f>"11137431"</f>
        <v>11137431</v>
      </c>
      <c r="I1214" t="str">
        <f t="shared" si="32"/>
        <v>MCCOY'S CORPORATION</v>
      </c>
      <c r="J1214" s="2">
        <v>18.96</v>
      </c>
    </row>
    <row r="1215" spans="7:10" ht="15">
      <c r="G1215" t="s">
        <v>13</v>
      </c>
      <c r="H1215" t="str">
        <f>"11138228"</f>
        <v>11138228</v>
      </c>
      <c r="I1215" t="str">
        <f t="shared" si="32"/>
        <v>MCCOY'S CORPORATION</v>
      </c>
      <c r="J1215" s="2">
        <v>44.67</v>
      </c>
    </row>
    <row r="1216" spans="7:10" ht="15">
      <c r="G1216" t="s">
        <v>13</v>
      </c>
      <c r="H1216" t="str">
        <f>"11138271"</f>
        <v>11138271</v>
      </c>
      <c r="I1216" t="str">
        <f t="shared" si="32"/>
        <v>MCCOY'S CORPORATION</v>
      </c>
      <c r="J1216" s="2">
        <v>115.83</v>
      </c>
    </row>
    <row r="1217" spans="7:10" ht="15">
      <c r="G1217" t="s">
        <v>13</v>
      </c>
      <c r="H1217" t="str">
        <f>"11138517"</f>
        <v>11138517</v>
      </c>
      <c r="I1217" t="str">
        <f t="shared" si="32"/>
        <v>MCCOY'S CORPORATION</v>
      </c>
      <c r="J1217" s="2">
        <v>123.12</v>
      </c>
    </row>
    <row r="1218" spans="7:10" ht="15">
      <c r="G1218" t="s">
        <v>13</v>
      </c>
      <c r="H1218" t="str">
        <f>"11138536"</f>
        <v>11138536</v>
      </c>
      <c r="I1218" t="str">
        <f t="shared" si="32"/>
        <v>MCCOY'S CORPORATION</v>
      </c>
      <c r="J1218" s="2">
        <v>21.99</v>
      </c>
    </row>
    <row r="1219" spans="7:10" ht="15">
      <c r="G1219" t="s">
        <v>13</v>
      </c>
      <c r="H1219" t="str">
        <f>"11138588"</f>
        <v>11138588</v>
      </c>
      <c r="I1219" t="str">
        <f t="shared" si="32"/>
        <v>MCCOY'S CORPORATION</v>
      </c>
      <c r="J1219" s="2">
        <v>20.97</v>
      </c>
    </row>
    <row r="1220" spans="7:10" ht="15">
      <c r="G1220" t="s">
        <v>13</v>
      </c>
      <c r="H1220" t="str">
        <f>"11138844"</f>
        <v>11138844</v>
      </c>
      <c r="I1220" t="str">
        <f t="shared" si="32"/>
        <v>MCCOY'S CORPORATION</v>
      </c>
      <c r="J1220" s="2">
        <v>89.88</v>
      </c>
    </row>
    <row r="1221" spans="1:10" ht="15">
      <c r="A1221" t="s">
        <v>100</v>
      </c>
      <c r="B1221" t="s">
        <v>11</v>
      </c>
      <c r="C1221">
        <v>53314</v>
      </c>
      <c r="D1221" s="2">
        <v>79617.41</v>
      </c>
      <c r="E1221" s="1">
        <v>42719</v>
      </c>
      <c r="F1221" t="s">
        <v>18</v>
      </c>
      <c r="G1221" t="s">
        <v>13</v>
      </c>
      <c r="H1221" t="str">
        <f>"0859-001721296"</f>
        <v>0859-001721296</v>
      </c>
      <c r="I1221" t="str">
        <f>"REPUBLIC SERVICES #859"</f>
        <v>REPUBLIC SERVICES #859</v>
      </c>
      <c r="J1221" s="2">
        <v>155.93</v>
      </c>
    </row>
    <row r="1222" spans="7:10" ht="15">
      <c r="G1222" t="s">
        <v>13</v>
      </c>
      <c r="H1222" t="str">
        <f>"0859-001721300"</f>
        <v>0859-001721300</v>
      </c>
      <c r="I1222" t="str">
        <f>"REPUBLIC SERVICES #859"</f>
        <v>REPUBLIC SERVICES #859</v>
      </c>
      <c r="J1222" s="2">
        <v>3371.13</v>
      </c>
    </row>
    <row r="1223" spans="7:10" ht="15">
      <c r="G1223" t="s">
        <v>13</v>
      </c>
      <c r="H1223" t="str">
        <f>"0859-001724826"</f>
        <v>0859-001724826</v>
      </c>
      <c r="I1223" t="str">
        <f>"REPUBLIC SERVICES #859"</f>
        <v>REPUBLIC SERVICES #859</v>
      </c>
      <c r="J1223" s="2">
        <v>76090.35</v>
      </c>
    </row>
    <row r="1224" spans="1:10" ht="15">
      <c r="A1224" t="s">
        <v>101</v>
      </c>
      <c r="B1224" t="s">
        <v>11</v>
      </c>
      <c r="C1224">
        <v>53315</v>
      </c>
      <c r="D1224" s="2">
        <v>3244.5</v>
      </c>
      <c r="E1224" s="1">
        <v>42719</v>
      </c>
      <c r="F1224" t="s">
        <v>18</v>
      </c>
      <c r="G1224" t="s">
        <v>13</v>
      </c>
      <c r="H1224" t="str">
        <f>"727722"</f>
        <v>727722</v>
      </c>
      <c r="I1224" t="str">
        <f>"A &amp; B COMMUNICATIONS"</f>
        <v>A &amp; B COMMUNICATIONS</v>
      </c>
      <c r="J1224" s="2">
        <v>3244.5</v>
      </c>
    </row>
    <row r="1225" spans="1:10" ht="15">
      <c r="A1225" t="s">
        <v>73</v>
      </c>
      <c r="B1225" t="s">
        <v>11</v>
      </c>
      <c r="C1225">
        <v>53316</v>
      </c>
      <c r="D1225" s="2">
        <v>68.25</v>
      </c>
      <c r="E1225" s="1">
        <v>42719</v>
      </c>
      <c r="F1225" t="s">
        <v>18</v>
      </c>
      <c r="G1225" t="s">
        <v>13</v>
      </c>
      <c r="H1225" t="str">
        <f>"5-628-45941"</f>
        <v>5-628-45941</v>
      </c>
      <c r="I1225" t="str">
        <f>"FEDEX"</f>
        <v>FEDEX</v>
      </c>
      <c r="J1225" s="2">
        <v>68.25</v>
      </c>
    </row>
    <row r="1226" spans="1:10" ht="15">
      <c r="A1226" t="s">
        <v>104</v>
      </c>
      <c r="B1226" t="s">
        <v>11</v>
      </c>
      <c r="C1226">
        <v>53317</v>
      </c>
      <c r="D1226" s="2">
        <v>376.58</v>
      </c>
      <c r="E1226" s="1">
        <v>42719</v>
      </c>
      <c r="F1226" t="s">
        <v>18</v>
      </c>
      <c r="G1226" t="s">
        <v>13</v>
      </c>
      <c r="H1226" t="str">
        <f>"A.M. 12/13/16"</f>
        <v>A.M. 12/13/16</v>
      </c>
      <c r="I1226" t="str">
        <f>"CITY OF FLORESVILLE -PETTY CAS"</f>
        <v>CITY OF FLORESVILLE -PETTY CAS</v>
      </c>
      <c r="J1226" s="2">
        <v>196.69</v>
      </c>
    </row>
    <row r="1227" spans="7:10" ht="15">
      <c r="G1227" t="s">
        <v>13</v>
      </c>
      <c r="H1227" t="str">
        <f>"B.C. 12/13/16"</f>
        <v>B.C. 12/13/16</v>
      </c>
      <c r="I1227" t="str">
        <f>"CITY OF FLORESVILLE -PETTY CAS"</f>
        <v>CITY OF FLORESVILLE -PETTY CAS</v>
      </c>
      <c r="J1227" s="2">
        <v>179.89</v>
      </c>
    </row>
    <row r="1228" spans="1:10" ht="15">
      <c r="A1228" t="s">
        <v>210</v>
      </c>
      <c r="B1228" t="s">
        <v>11</v>
      </c>
      <c r="C1228">
        <v>53318</v>
      </c>
      <c r="D1228" s="2">
        <v>195</v>
      </c>
      <c r="E1228" s="1">
        <v>42719</v>
      </c>
      <c r="F1228" t="s">
        <v>18</v>
      </c>
      <c r="G1228" t="s">
        <v>13</v>
      </c>
      <c r="H1228" t="str">
        <f>"12/13/16"</f>
        <v>12/13/16</v>
      </c>
      <c r="I1228" t="str">
        <f>"SHARON KERRIGAN"</f>
        <v>SHARON KERRIGAN</v>
      </c>
      <c r="J1228" s="2">
        <v>50</v>
      </c>
    </row>
    <row r="1229" spans="7:10" ht="15">
      <c r="G1229" t="s">
        <v>13</v>
      </c>
      <c r="H1229" t="str">
        <f>"12/3/16"</f>
        <v>12/3/16</v>
      </c>
      <c r="I1229" t="str">
        <f>"SHARON KERRIGAN"</f>
        <v>SHARON KERRIGAN</v>
      </c>
      <c r="J1229" s="2">
        <v>70</v>
      </c>
    </row>
    <row r="1230" spans="7:10" ht="15">
      <c r="G1230" t="s">
        <v>13</v>
      </c>
      <c r="H1230" t="str">
        <f>"121016"</f>
        <v>121016</v>
      </c>
      <c r="I1230" t="str">
        <f>"SHARON KERRIGAN"</f>
        <v>SHARON KERRIGAN</v>
      </c>
      <c r="J1230" s="2">
        <v>75</v>
      </c>
    </row>
    <row r="1231" spans="1:10" ht="15">
      <c r="A1231" t="s">
        <v>131</v>
      </c>
      <c r="B1231" t="s">
        <v>11</v>
      </c>
      <c r="C1231">
        <v>53319</v>
      </c>
      <c r="D1231" s="2">
        <v>195</v>
      </c>
      <c r="E1231" s="1">
        <v>42719</v>
      </c>
      <c r="F1231" t="s">
        <v>18</v>
      </c>
      <c r="G1231" t="s">
        <v>13</v>
      </c>
      <c r="H1231" t="str">
        <f>"12/13/16"</f>
        <v>12/13/16</v>
      </c>
      <c r="I1231" t="str">
        <f>"DEBORAH KORCZYK"</f>
        <v>DEBORAH KORCZYK</v>
      </c>
      <c r="J1231" s="2">
        <v>50</v>
      </c>
    </row>
    <row r="1232" spans="7:10" ht="15">
      <c r="G1232" t="s">
        <v>13</v>
      </c>
      <c r="H1232" t="str">
        <f>"12/3/16"</f>
        <v>12/3/16</v>
      </c>
      <c r="I1232" t="str">
        <f>"DEBORAH KORCZYK"</f>
        <v>DEBORAH KORCZYK</v>
      </c>
      <c r="J1232" s="2">
        <v>70</v>
      </c>
    </row>
    <row r="1233" spans="7:10" ht="15">
      <c r="G1233" t="s">
        <v>13</v>
      </c>
      <c r="H1233" t="str">
        <f>"201612137840"</f>
        <v>201612137840</v>
      </c>
      <c r="I1233" t="str">
        <f>"DEBORAH KORCZYK"</f>
        <v>DEBORAH KORCZYK</v>
      </c>
      <c r="J1233" s="2">
        <v>75</v>
      </c>
    </row>
    <row r="1234" spans="1:10" ht="15">
      <c r="A1234" t="s">
        <v>246</v>
      </c>
      <c r="B1234" t="s">
        <v>11</v>
      </c>
      <c r="C1234">
        <v>53320</v>
      </c>
      <c r="D1234" s="2">
        <v>200</v>
      </c>
      <c r="E1234" s="1">
        <v>42719</v>
      </c>
      <c r="F1234" t="s">
        <v>18</v>
      </c>
      <c r="G1234" t="s">
        <v>13</v>
      </c>
      <c r="H1234" t="str">
        <f>"INV387361"</f>
        <v>INV387361</v>
      </c>
      <c r="I1234" t="str">
        <f>"DOCUMATION"</f>
        <v>DOCUMATION</v>
      </c>
      <c r="J1234" s="2">
        <v>200</v>
      </c>
    </row>
    <row r="1235" spans="1:10" ht="15">
      <c r="A1235" t="s">
        <v>76</v>
      </c>
      <c r="B1235" t="s">
        <v>11</v>
      </c>
      <c r="C1235">
        <v>53321</v>
      </c>
      <c r="D1235" s="2">
        <v>34800</v>
      </c>
      <c r="E1235" s="1">
        <v>42719</v>
      </c>
      <c r="F1235" t="s">
        <v>18</v>
      </c>
      <c r="G1235" t="s">
        <v>13</v>
      </c>
      <c r="H1235" t="str">
        <f>"255918"</f>
        <v>255918</v>
      </c>
      <c r="I1235" t="str">
        <f>"COBBFENDLEY"</f>
        <v>COBBFENDLEY</v>
      </c>
      <c r="J1235" s="2">
        <v>34800</v>
      </c>
    </row>
    <row r="1236" spans="1:10" ht="15">
      <c r="A1236" t="s">
        <v>77</v>
      </c>
      <c r="B1236" t="s">
        <v>11</v>
      </c>
      <c r="C1236">
        <v>53322</v>
      </c>
      <c r="D1236" s="2">
        <v>64.95</v>
      </c>
      <c r="E1236" s="1">
        <v>42719</v>
      </c>
      <c r="F1236" t="s">
        <v>18</v>
      </c>
      <c r="G1236" t="s">
        <v>13</v>
      </c>
      <c r="H1236" t="str">
        <f>"012866"</f>
        <v>012866</v>
      </c>
      <c r="I1236" t="str">
        <f>"R &amp; S TEXAS PARTS CO"</f>
        <v>R &amp; S TEXAS PARTS CO</v>
      </c>
      <c r="J1236" s="2">
        <v>64.95</v>
      </c>
    </row>
    <row r="1237" spans="1:10" ht="15">
      <c r="A1237" t="s">
        <v>247</v>
      </c>
      <c r="B1237" t="s">
        <v>11</v>
      </c>
      <c r="C1237">
        <v>53323</v>
      </c>
      <c r="D1237" s="2">
        <v>1354.68</v>
      </c>
      <c r="E1237" s="1">
        <v>42719</v>
      </c>
      <c r="F1237" t="s">
        <v>18</v>
      </c>
      <c r="G1237" t="s">
        <v>13</v>
      </c>
      <c r="H1237" t="str">
        <f>"SI-998010"</f>
        <v>SI-998010</v>
      </c>
      <c r="I1237" t="str">
        <f>"BASS COMPUTER  INC."</f>
        <v>BASS COMPUTER  INC.</v>
      </c>
      <c r="J1237" s="2">
        <v>1309.73</v>
      </c>
    </row>
    <row r="1238" spans="7:10" ht="15">
      <c r="G1238" t="s">
        <v>13</v>
      </c>
      <c r="H1238" t="str">
        <f>"SI-998012"</f>
        <v>SI-998012</v>
      </c>
      <c r="I1238" t="str">
        <f>"BASS COMPUTER  INC."</f>
        <v>BASS COMPUTER  INC.</v>
      </c>
      <c r="J1238" s="2">
        <v>44.95</v>
      </c>
    </row>
    <row r="1239" spans="1:10" ht="15">
      <c r="A1239" t="s">
        <v>81</v>
      </c>
      <c r="B1239" t="s">
        <v>11</v>
      </c>
      <c r="C1239">
        <v>53324</v>
      </c>
      <c r="D1239" s="2">
        <v>842.88</v>
      </c>
      <c r="E1239" s="1">
        <v>42719</v>
      </c>
      <c r="F1239" t="s">
        <v>18</v>
      </c>
      <c r="G1239" t="s">
        <v>13</v>
      </c>
      <c r="H1239" t="str">
        <f>"201612137843"</f>
        <v>201612137843</v>
      </c>
      <c r="I1239" t="str">
        <f>"FRONTIER"</f>
        <v>FRONTIER</v>
      </c>
      <c r="J1239" s="2">
        <v>435.41</v>
      </c>
    </row>
    <row r="1240" spans="7:10" ht="15">
      <c r="G1240" t="s">
        <v>13</v>
      </c>
      <c r="H1240" t="str">
        <f>"201612137845"</f>
        <v>201612137845</v>
      </c>
      <c r="I1240" t="str">
        <f>"FRONTIER"</f>
        <v>FRONTIER</v>
      </c>
      <c r="J1240" s="2">
        <v>74.1</v>
      </c>
    </row>
    <row r="1241" spans="7:10" ht="15">
      <c r="G1241" t="s">
        <v>13</v>
      </c>
      <c r="H1241" t="str">
        <f>"201612137846"</f>
        <v>201612137846</v>
      </c>
      <c r="I1241" t="str">
        <f>"FRONTIER"</f>
        <v>FRONTIER</v>
      </c>
      <c r="J1241" s="2">
        <v>154.24</v>
      </c>
    </row>
    <row r="1242" spans="7:10" ht="15">
      <c r="G1242" t="s">
        <v>13</v>
      </c>
      <c r="H1242" t="str">
        <f>"201612137847"</f>
        <v>201612137847</v>
      </c>
      <c r="I1242" t="str">
        <f>"FRONTIER"</f>
        <v>FRONTIER</v>
      </c>
      <c r="J1242" s="2">
        <v>105.6</v>
      </c>
    </row>
    <row r="1243" spans="7:10" ht="15">
      <c r="G1243" t="s">
        <v>13</v>
      </c>
      <c r="H1243" t="str">
        <f>"201612137855"</f>
        <v>201612137855</v>
      </c>
      <c r="I1243" t="str">
        <f>"FRONTIER"</f>
        <v>FRONTIER</v>
      </c>
      <c r="J1243" s="2">
        <v>73.53</v>
      </c>
    </row>
    <row r="1244" spans="1:10" ht="15">
      <c r="A1244" t="s">
        <v>126</v>
      </c>
      <c r="B1244" t="s">
        <v>11</v>
      </c>
      <c r="C1244">
        <v>53325</v>
      </c>
      <c r="D1244" s="2">
        <v>50</v>
      </c>
      <c r="E1244" s="1">
        <v>42719</v>
      </c>
      <c r="F1244" t="s">
        <v>18</v>
      </c>
      <c r="G1244" t="s">
        <v>13</v>
      </c>
      <c r="H1244" t="str">
        <f>"201612137850"</f>
        <v>201612137850</v>
      </c>
      <c r="I1244" t="str">
        <f>"SHIRLEY UNDERWOOD"</f>
        <v>SHIRLEY UNDERWOOD</v>
      </c>
      <c r="J1244" s="2">
        <v>50</v>
      </c>
    </row>
    <row r="1245" spans="1:10" ht="15">
      <c r="A1245" t="s">
        <v>181</v>
      </c>
      <c r="B1245" t="s">
        <v>11</v>
      </c>
      <c r="C1245">
        <v>53326</v>
      </c>
      <c r="D1245" s="2">
        <v>899</v>
      </c>
      <c r="E1245" s="1">
        <v>42719</v>
      </c>
      <c r="F1245" t="s">
        <v>18</v>
      </c>
      <c r="G1245" t="s">
        <v>13</v>
      </c>
      <c r="H1245" t="str">
        <f>"49"</f>
        <v>49</v>
      </c>
      <c r="I1245" t="str">
        <f>"WESTON SIGNS LLC"</f>
        <v>WESTON SIGNS LLC</v>
      </c>
      <c r="J1245" s="2">
        <v>659</v>
      </c>
    </row>
    <row r="1246" spans="7:10" ht="15">
      <c r="G1246" t="s">
        <v>13</v>
      </c>
      <c r="H1246" t="str">
        <f>"51"</f>
        <v>51</v>
      </c>
      <c r="I1246" t="str">
        <f>"WESTON SIGNS LLC"</f>
        <v>WESTON SIGNS LLC</v>
      </c>
      <c r="J1246" s="2">
        <v>120</v>
      </c>
    </row>
    <row r="1247" spans="7:10" ht="15">
      <c r="G1247" t="s">
        <v>13</v>
      </c>
      <c r="H1247" t="str">
        <f>"53"</f>
        <v>53</v>
      </c>
      <c r="I1247" t="str">
        <f>"WESTON SIGNS LLC"</f>
        <v>WESTON SIGNS LLC</v>
      </c>
      <c r="J1247" s="2">
        <v>120</v>
      </c>
    </row>
    <row r="1248" spans="1:10" ht="15">
      <c r="A1248" t="s">
        <v>183</v>
      </c>
      <c r="B1248" t="s">
        <v>11</v>
      </c>
      <c r="C1248">
        <v>53327</v>
      </c>
      <c r="D1248" s="2">
        <v>580</v>
      </c>
      <c r="E1248" s="1">
        <v>42719</v>
      </c>
      <c r="F1248" t="s">
        <v>18</v>
      </c>
      <c r="G1248" t="s">
        <v>13</v>
      </c>
      <c r="H1248" t="str">
        <f>"150624"</f>
        <v>150624</v>
      </c>
      <c r="I1248" t="str">
        <f>"AMER TECHNOLOGY  INC."</f>
        <v>AMER TECHNOLOGY  INC.</v>
      </c>
      <c r="J1248" s="2">
        <v>580</v>
      </c>
    </row>
    <row r="1249" spans="1:10" ht="15">
      <c r="A1249" t="s">
        <v>283</v>
      </c>
      <c r="B1249" t="s">
        <v>11</v>
      </c>
      <c r="C1249">
        <v>53328</v>
      </c>
      <c r="D1249" s="2">
        <v>1700</v>
      </c>
      <c r="E1249" s="1">
        <v>42719</v>
      </c>
      <c r="F1249" t="s">
        <v>18</v>
      </c>
      <c r="G1249" t="s">
        <v>13</v>
      </c>
      <c r="H1249" t="str">
        <f>"018482"</f>
        <v>018482</v>
      </c>
      <c r="I1249" t="str">
        <f>"HUDSON BROTHERS TRAILER SALES"</f>
        <v>HUDSON BROTHERS TRAILER SALES</v>
      </c>
      <c r="J1249" s="2">
        <v>1700</v>
      </c>
    </row>
    <row r="1250" spans="1:10" ht="15">
      <c r="A1250" t="s">
        <v>29</v>
      </c>
      <c r="B1250" t="s">
        <v>11</v>
      </c>
      <c r="C1250">
        <v>53338</v>
      </c>
      <c r="D1250" s="2">
        <v>290.9</v>
      </c>
      <c r="E1250" s="1">
        <v>42724</v>
      </c>
      <c r="F1250" t="s">
        <v>18</v>
      </c>
      <c r="G1250" t="s">
        <v>13</v>
      </c>
      <c r="H1250" t="str">
        <f>"CLE201612207861"</f>
        <v>CLE201612207861</v>
      </c>
      <c r="I1250" t="str">
        <f>"CLEAT ONLY DUES"</f>
        <v>CLEAT ONLY DUES</v>
      </c>
      <c r="J1250" s="2">
        <v>13.85</v>
      </c>
    </row>
    <row r="1251" spans="7:10" ht="15">
      <c r="G1251" t="s">
        <v>13</v>
      </c>
      <c r="H1251" t="str">
        <f>"PDD201612207861"</f>
        <v>PDD201612207861</v>
      </c>
      <c r="I1251" t="str">
        <f>"POLICE OFFICERS ASSOC DUES"</f>
        <v>POLICE OFFICERS ASSOC DUES</v>
      </c>
      <c r="J1251" s="2">
        <v>277.05</v>
      </c>
    </row>
    <row r="1252" spans="1:10" ht="15">
      <c r="A1252" t="s">
        <v>30</v>
      </c>
      <c r="B1252" t="s">
        <v>11</v>
      </c>
      <c r="C1252">
        <v>53339</v>
      </c>
      <c r="D1252" s="2">
        <v>1200.46</v>
      </c>
      <c r="E1252" s="1">
        <v>42724</v>
      </c>
      <c r="F1252" t="s">
        <v>18</v>
      </c>
      <c r="G1252" t="s">
        <v>13</v>
      </c>
      <c r="H1252" t="str">
        <f>"CPS201612207861"</f>
        <v>CPS201612207861</v>
      </c>
      <c r="I1252" t="str">
        <f>"G MENDOZA 00123012032010EM5054"</f>
        <v>G MENDOZA 00123012032010EM5054</v>
      </c>
      <c r="J1252" s="2">
        <v>11.54</v>
      </c>
    </row>
    <row r="1253" spans="7:10" ht="15">
      <c r="G1253" t="s">
        <v>13</v>
      </c>
      <c r="H1253" t="str">
        <f>"CS 201612207861"</f>
        <v>CS 201612207861</v>
      </c>
      <c r="I1253" t="str">
        <f>"CAUSE#98EM504113 PEGGY RIVAS"</f>
        <v>CAUSE#98EM504113 PEGGY RIVAS</v>
      </c>
      <c r="J1253" s="2">
        <v>294.46</v>
      </c>
    </row>
    <row r="1254" spans="7:10" ht="15">
      <c r="G1254" t="s">
        <v>13</v>
      </c>
      <c r="H1254" t="str">
        <f>"CS1201612207861"</f>
        <v>CS1201612207861</v>
      </c>
      <c r="I1254" t="str">
        <f>"CAUSE# 10008CVW DEBRA ESQUEDA"</f>
        <v>CAUSE# 10008CVW DEBRA ESQUEDA</v>
      </c>
      <c r="J1254" s="2">
        <v>234.46</v>
      </c>
    </row>
    <row r="1255" spans="7:10" ht="15">
      <c r="G1255" t="s">
        <v>13</v>
      </c>
      <c r="H1255" t="str">
        <f>"CSJ201612207861"</f>
        <v>CSJ201612207861</v>
      </c>
      <c r="I1255" t="str">
        <f>"CAUSE# 0010185272 MARIANN GUTI"</f>
        <v>CAUSE# 0010185272 MARIANN GUTI</v>
      </c>
      <c r="J1255" s="2">
        <v>325.38</v>
      </c>
    </row>
    <row r="1256" spans="7:10" ht="15">
      <c r="G1256" t="s">
        <v>13</v>
      </c>
      <c r="H1256" t="str">
        <f>"CST201612207861"</f>
        <v>CST201612207861</v>
      </c>
      <c r="I1256" t="str">
        <f>"CAUSE #0009418917 SONIA PEREZ"</f>
        <v>CAUSE #0009418917 SONIA PEREZ</v>
      </c>
      <c r="J1256" s="2">
        <v>334.62</v>
      </c>
    </row>
    <row r="1257" spans="1:10" ht="15">
      <c r="A1257" t="s">
        <v>32</v>
      </c>
      <c r="B1257" t="s">
        <v>11</v>
      </c>
      <c r="C1257">
        <v>53340</v>
      </c>
      <c r="D1257" s="2">
        <v>99.1</v>
      </c>
      <c r="E1257" s="1">
        <v>42724</v>
      </c>
      <c r="F1257" t="s">
        <v>18</v>
      </c>
      <c r="G1257" t="s">
        <v>13</v>
      </c>
      <c r="H1257" t="str">
        <f>"MCO201612207861"</f>
        <v>MCO201612207861</v>
      </c>
      <c r="I1257" t="s">
        <v>313</v>
      </c>
      <c r="J1257" s="2">
        <v>99.1</v>
      </c>
    </row>
    <row r="1258" spans="1:10" ht="15">
      <c r="A1258" t="s">
        <v>33</v>
      </c>
      <c r="B1258" t="s">
        <v>11</v>
      </c>
      <c r="C1258">
        <v>53341</v>
      </c>
      <c r="D1258" s="2">
        <v>649</v>
      </c>
      <c r="E1258" s="1">
        <v>42724</v>
      </c>
      <c r="F1258" t="s">
        <v>18</v>
      </c>
      <c r="G1258" t="s">
        <v>13</v>
      </c>
      <c r="H1258" t="str">
        <f>"457201612207861"</f>
        <v>457201612207861</v>
      </c>
      <c r="I1258" t="str">
        <f>"CASE # 180-60751 457B DEDUCT"</f>
        <v>CASE # 180-60751 457B DEDUCT</v>
      </c>
      <c r="J1258" s="2">
        <v>649</v>
      </c>
    </row>
    <row r="1259" spans="1:10" ht="15">
      <c r="A1259" t="s">
        <v>228</v>
      </c>
      <c r="B1259" t="s">
        <v>11</v>
      </c>
      <c r="C1259">
        <v>53342</v>
      </c>
      <c r="D1259" s="2">
        <v>1683.13</v>
      </c>
      <c r="E1259" s="1">
        <v>42724</v>
      </c>
      <c r="F1259" t="s">
        <v>18</v>
      </c>
      <c r="G1259" t="s">
        <v>13</v>
      </c>
      <c r="H1259" t="str">
        <f>"2446"</f>
        <v>2446</v>
      </c>
      <c r="I1259" t="str">
        <f>"ROBERT L SRALLA DBA/SRALLA ELE"</f>
        <v>ROBERT L SRALLA DBA/SRALLA ELE</v>
      </c>
      <c r="J1259" s="2">
        <v>85</v>
      </c>
    </row>
    <row r="1260" spans="7:10" ht="15">
      <c r="G1260" t="s">
        <v>13</v>
      </c>
      <c r="H1260" t="str">
        <f>"2676*"</f>
        <v>2676*</v>
      </c>
      <c r="I1260" t="str">
        <f>"ROBERT L SRALLA DBA/SRALLA ELE"</f>
        <v>ROBERT L SRALLA DBA/SRALLA ELE</v>
      </c>
      <c r="J1260" s="2">
        <v>1598.13</v>
      </c>
    </row>
    <row r="1261" spans="1:10" ht="15">
      <c r="A1261" t="s">
        <v>284</v>
      </c>
      <c r="B1261" t="s">
        <v>11</v>
      </c>
      <c r="C1261">
        <v>53343</v>
      </c>
      <c r="D1261" s="2">
        <v>1300</v>
      </c>
      <c r="E1261" s="1">
        <v>42724</v>
      </c>
      <c r="F1261" t="s">
        <v>18</v>
      </c>
      <c r="G1261" t="s">
        <v>13</v>
      </c>
      <c r="H1261" t="str">
        <f>"REFUND EC"</f>
        <v>REFUND EC</v>
      </c>
      <c r="I1261" t="str">
        <f>"EVENT CENTER REFUN"</f>
        <v>EVENT CENTER REFUN</v>
      </c>
      <c r="J1261" s="2">
        <v>1300</v>
      </c>
    </row>
    <row r="1262" spans="1:10" ht="15">
      <c r="A1262" t="s">
        <v>134</v>
      </c>
      <c r="B1262" t="s">
        <v>11</v>
      </c>
      <c r="C1262">
        <v>53344</v>
      </c>
      <c r="D1262" s="2">
        <v>40</v>
      </c>
      <c r="E1262" s="1">
        <v>42724</v>
      </c>
      <c r="F1262" t="s">
        <v>18</v>
      </c>
      <c r="G1262" t="s">
        <v>13</v>
      </c>
      <c r="H1262" t="str">
        <f>"TRAINING REF"</f>
        <v>TRAINING REF</v>
      </c>
      <c r="I1262" t="str">
        <f>"TRAINING REFUND"</f>
        <v>TRAINING REFUND</v>
      </c>
      <c r="J1262" s="2">
        <v>40</v>
      </c>
    </row>
    <row r="1263" spans="1:10" ht="15">
      <c r="A1263" t="s">
        <v>238</v>
      </c>
      <c r="B1263" t="s">
        <v>11</v>
      </c>
      <c r="C1263">
        <v>53345</v>
      </c>
      <c r="D1263" s="2">
        <v>117.93</v>
      </c>
      <c r="E1263" s="1">
        <v>42724</v>
      </c>
      <c r="F1263" t="s">
        <v>18</v>
      </c>
      <c r="G1263" t="s">
        <v>13</v>
      </c>
      <c r="H1263" t="str">
        <f>"TRAINING 1/9-1/11"</f>
        <v>TRAINING 1/9-1/11</v>
      </c>
      <c r="I1263" t="str">
        <f>"JOE XIMENEZ"</f>
        <v>JOE XIMENEZ</v>
      </c>
      <c r="J1263" s="2">
        <v>117.93</v>
      </c>
    </row>
    <row r="1264" spans="1:10" ht="15">
      <c r="A1264" t="s">
        <v>126</v>
      </c>
      <c r="B1264" t="s">
        <v>11</v>
      </c>
      <c r="C1264">
        <v>53346</v>
      </c>
      <c r="D1264" s="2">
        <v>181.4</v>
      </c>
      <c r="E1264" s="1">
        <v>42724</v>
      </c>
      <c r="F1264" t="s">
        <v>18</v>
      </c>
      <c r="G1264" t="s">
        <v>13</v>
      </c>
      <c r="H1264" t="str">
        <f>"12/3*12/15*12/17"</f>
        <v>12/3*12/15*12/17</v>
      </c>
      <c r="I1264" t="str">
        <f>"SHIRLEY UNDERWOOD"</f>
        <v>SHIRLEY UNDERWOOD</v>
      </c>
      <c r="J1264" s="2">
        <v>181.4</v>
      </c>
    </row>
    <row r="1265" spans="1:10" ht="15">
      <c r="A1265" t="s">
        <v>130</v>
      </c>
      <c r="B1265" t="s">
        <v>11</v>
      </c>
      <c r="C1265">
        <v>53347</v>
      </c>
      <c r="D1265" s="2">
        <v>967.67</v>
      </c>
      <c r="E1265" s="1">
        <v>42725</v>
      </c>
      <c r="F1265" t="s">
        <v>18</v>
      </c>
      <c r="G1265" t="s">
        <v>13</v>
      </c>
      <c r="H1265" t="str">
        <f>"12/21/2016"</f>
        <v>12/21/2016</v>
      </c>
      <c r="I1265" t="str">
        <f>"FLORESVILLE POST OFFICE"</f>
        <v>FLORESVILLE POST OFFICE</v>
      </c>
      <c r="J1265" s="2">
        <v>967.67</v>
      </c>
    </row>
    <row r="1266" spans="1:10" ht="15">
      <c r="A1266" t="s">
        <v>67</v>
      </c>
      <c r="B1266" t="s">
        <v>11</v>
      </c>
      <c r="C1266">
        <v>53348</v>
      </c>
      <c r="D1266" s="2">
        <v>229.5</v>
      </c>
      <c r="E1266" s="1">
        <v>42725</v>
      </c>
      <c r="F1266" t="s">
        <v>18</v>
      </c>
      <c r="G1266" t="s">
        <v>13</v>
      </c>
      <c r="H1266" t="str">
        <f>"12/21/2016"</f>
        <v>12/21/2016</v>
      </c>
      <c r="I1266" t="str">
        <f>"MARIA GONZALES"</f>
        <v>MARIA GONZALES</v>
      </c>
      <c r="J1266" s="2">
        <v>229.5</v>
      </c>
    </row>
    <row r="1267" spans="1:10" ht="15">
      <c r="A1267" t="s">
        <v>34</v>
      </c>
      <c r="B1267" t="s">
        <v>11</v>
      </c>
      <c r="C1267">
        <v>53349</v>
      </c>
      <c r="D1267" s="2">
        <v>20</v>
      </c>
      <c r="E1267" s="1">
        <v>42739</v>
      </c>
      <c r="F1267" t="s">
        <v>18</v>
      </c>
      <c r="G1267" t="s">
        <v>13</v>
      </c>
      <c r="H1267" t="str">
        <f>"156555"</f>
        <v>156555</v>
      </c>
      <c r="I1267" t="str">
        <f>"GERALD LUBIANSKI ENTERPRISES"</f>
        <v>GERALD LUBIANSKI ENTERPRISES</v>
      </c>
      <c r="J1267" s="2">
        <v>10</v>
      </c>
    </row>
    <row r="1268" spans="7:10" ht="15">
      <c r="G1268" t="s">
        <v>13</v>
      </c>
      <c r="H1268" t="str">
        <f>"156631"</f>
        <v>156631</v>
      </c>
      <c r="I1268" t="str">
        <f>"GERALD LUBIANSKI ENTERPRISES"</f>
        <v>GERALD LUBIANSKI ENTERPRISES</v>
      </c>
      <c r="J1268" s="2">
        <v>10</v>
      </c>
    </row>
    <row r="1269" spans="1:10" ht="15">
      <c r="A1269" t="s">
        <v>35</v>
      </c>
      <c r="B1269" t="s">
        <v>11</v>
      </c>
      <c r="C1269">
        <v>53350</v>
      </c>
      <c r="D1269" s="2">
        <v>21998.96</v>
      </c>
      <c r="E1269" s="1">
        <v>42739</v>
      </c>
      <c r="F1269" t="s">
        <v>18</v>
      </c>
      <c r="G1269" t="s">
        <v>13</v>
      </c>
      <c r="H1269" t="str">
        <f>"12/15/16"</f>
        <v>12/15/16</v>
      </c>
      <c r="I1269" t="str">
        <f>"F.E.L.P.S."</f>
        <v>F.E.L.P.S.</v>
      </c>
      <c r="J1269" s="2">
        <v>21998.96</v>
      </c>
    </row>
    <row r="1270" spans="1:10" ht="15">
      <c r="A1270" t="s">
        <v>140</v>
      </c>
      <c r="B1270" t="s">
        <v>11</v>
      </c>
      <c r="C1270">
        <v>53351</v>
      </c>
      <c r="D1270" s="2">
        <v>1233.54</v>
      </c>
      <c r="E1270" s="1">
        <v>42739</v>
      </c>
      <c r="F1270" t="s">
        <v>18</v>
      </c>
      <c r="G1270" t="s">
        <v>13</v>
      </c>
      <c r="H1270" t="str">
        <f>"201701037862"</f>
        <v>201701037862</v>
      </c>
      <c r="I1270" t="str">
        <f>"PITNEY BOWES PURCHASE POWER"</f>
        <v>PITNEY BOWES PURCHASE POWER</v>
      </c>
      <c r="J1270" s="2">
        <v>1233.54</v>
      </c>
    </row>
    <row r="1271" spans="1:10" ht="15">
      <c r="A1271" t="s">
        <v>285</v>
      </c>
      <c r="B1271" t="s">
        <v>11</v>
      </c>
      <c r="C1271">
        <v>53352</v>
      </c>
      <c r="D1271" s="2">
        <v>85.15</v>
      </c>
      <c r="E1271" s="1">
        <v>42739</v>
      </c>
      <c r="F1271" t="s">
        <v>15</v>
      </c>
      <c r="G1271" t="s">
        <v>13</v>
      </c>
      <c r="H1271" t="str">
        <f>"44111"</f>
        <v>44111</v>
      </c>
      <c r="I1271" t="str">
        <f>"FELUX METAL WORKS &amp; SUPPLY  L."</f>
        <v>FELUX METAL WORKS &amp; SUPPLY  L.</v>
      </c>
      <c r="J1271" s="2">
        <v>85.15</v>
      </c>
    </row>
    <row r="1272" spans="1:10" ht="15">
      <c r="A1272" t="s">
        <v>285</v>
      </c>
      <c r="B1272" t="s">
        <v>11</v>
      </c>
      <c r="C1272">
        <v>53352</v>
      </c>
      <c r="D1272" s="2">
        <v>85.15</v>
      </c>
      <c r="E1272" s="1">
        <v>42739</v>
      </c>
      <c r="F1272" t="s">
        <v>15</v>
      </c>
      <c r="G1272" t="s">
        <v>16</v>
      </c>
      <c r="H1272" t="str">
        <f>"CHECK"</f>
        <v>CHECK</v>
      </c>
      <c r="I1272">
        <f>""</f>
      </c>
      <c r="J1272" s="2">
        <v>85.15</v>
      </c>
    </row>
    <row r="1273" spans="1:10" ht="15">
      <c r="A1273" t="s">
        <v>187</v>
      </c>
      <c r="B1273" t="s">
        <v>11</v>
      </c>
      <c r="C1273">
        <v>53353</v>
      </c>
      <c r="D1273" s="2">
        <v>254.75</v>
      </c>
      <c r="E1273" s="1">
        <v>42739</v>
      </c>
      <c r="F1273" t="s">
        <v>18</v>
      </c>
      <c r="G1273" t="s">
        <v>13</v>
      </c>
      <c r="H1273" t="str">
        <f>"12/11 &amp; 12/15"</f>
        <v>12/11 &amp; 12/15</v>
      </c>
      <c r="I1273" t="str">
        <f>"GLORIA MARTINEZ"</f>
        <v>GLORIA MARTINEZ</v>
      </c>
      <c r="J1273" s="2">
        <v>254.75</v>
      </c>
    </row>
    <row r="1274" spans="1:10" ht="15">
      <c r="A1274" t="s">
        <v>43</v>
      </c>
      <c r="B1274" t="s">
        <v>11</v>
      </c>
      <c r="C1274">
        <v>53354</v>
      </c>
      <c r="D1274" s="2">
        <v>335.95</v>
      </c>
      <c r="E1274" s="1">
        <v>42739</v>
      </c>
      <c r="F1274" t="s">
        <v>18</v>
      </c>
      <c r="G1274" t="s">
        <v>13</v>
      </c>
      <c r="H1274" t="str">
        <f>"104673"</f>
        <v>104673</v>
      </c>
      <c r="I1274" t="str">
        <f>"DITTMAR LUMBER CO."</f>
        <v>DITTMAR LUMBER CO.</v>
      </c>
      <c r="J1274" s="2">
        <v>335.95</v>
      </c>
    </row>
    <row r="1275" spans="1:10" ht="15">
      <c r="A1275" t="s">
        <v>46</v>
      </c>
      <c r="B1275" t="s">
        <v>11</v>
      </c>
      <c r="C1275">
        <v>53355</v>
      </c>
      <c r="D1275" s="2">
        <v>9110.11</v>
      </c>
      <c r="E1275" s="1">
        <v>42739</v>
      </c>
      <c r="F1275" t="s">
        <v>18</v>
      </c>
      <c r="G1275" t="s">
        <v>13</v>
      </c>
      <c r="H1275" t="str">
        <f>"1347306"</f>
        <v>1347306</v>
      </c>
      <c r="I1275" t="str">
        <f aca="true" t="shared" si="33" ref="I1275:I1294">"BUREAU VERITAS NORTH AMERICA"</f>
        <v>BUREAU VERITAS NORTH AMERICA</v>
      </c>
      <c r="J1275" s="2">
        <v>865.05</v>
      </c>
    </row>
    <row r="1276" spans="7:10" ht="15">
      <c r="G1276" t="s">
        <v>13</v>
      </c>
      <c r="H1276" t="str">
        <f>"1347307"</f>
        <v>1347307</v>
      </c>
      <c r="I1276" t="str">
        <f t="shared" si="33"/>
        <v>BUREAU VERITAS NORTH AMERICA</v>
      </c>
      <c r="J1276" s="2">
        <v>775.94</v>
      </c>
    </row>
    <row r="1277" spans="7:10" ht="15">
      <c r="G1277" t="s">
        <v>13</v>
      </c>
      <c r="H1277" t="str">
        <f>"1347309"</f>
        <v>1347309</v>
      </c>
      <c r="I1277" t="str">
        <f t="shared" si="33"/>
        <v>BUREAU VERITAS NORTH AMERICA</v>
      </c>
      <c r="J1277" s="2">
        <v>999.45</v>
      </c>
    </row>
    <row r="1278" spans="7:10" ht="15">
      <c r="G1278" t="s">
        <v>13</v>
      </c>
      <c r="H1278" t="str">
        <f>"1347310"</f>
        <v>1347310</v>
      </c>
      <c r="I1278" t="str">
        <f t="shared" si="33"/>
        <v>BUREAU VERITAS NORTH AMERICA</v>
      </c>
      <c r="J1278" s="2">
        <v>1150.34</v>
      </c>
    </row>
    <row r="1279" spans="7:10" ht="15">
      <c r="G1279" t="s">
        <v>13</v>
      </c>
      <c r="H1279" t="str">
        <f>"1347311"</f>
        <v>1347311</v>
      </c>
      <c r="I1279" t="str">
        <f t="shared" si="33"/>
        <v>BUREAU VERITAS NORTH AMERICA</v>
      </c>
      <c r="J1279" s="2">
        <v>865.05</v>
      </c>
    </row>
    <row r="1280" spans="7:10" ht="15">
      <c r="G1280" t="s">
        <v>13</v>
      </c>
      <c r="H1280" t="str">
        <f>"1347312"</f>
        <v>1347312</v>
      </c>
      <c r="I1280" t="str">
        <f t="shared" si="33"/>
        <v>BUREAU VERITAS NORTH AMERICA</v>
      </c>
      <c r="J1280" s="2">
        <v>848.25</v>
      </c>
    </row>
    <row r="1281" spans="7:10" ht="15">
      <c r="G1281" t="s">
        <v>13</v>
      </c>
      <c r="H1281" t="str">
        <f>"1347313"</f>
        <v>1347313</v>
      </c>
      <c r="I1281" t="str">
        <f t="shared" si="33"/>
        <v>BUREAU VERITAS NORTH AMERICA</v>
      </c>
      <c r="J1281" s="2">
        <v>777.69</v>
      </c>
    </row>
    <row r="1282" spans="7:10" ht="15">
      <c r="G1282" t="s">
        <v>13</v>
      </c>
      <c r="H1282" t="str">
        <f>"1347314"</f>
        <v>1347314</v>
      </c>
      <c r="I1282" t="str">
        <f t="shared" si="33"/>
        <v>BUREAU VERITAS NORTH AMERICA</v>
      </c>
      <c r="J1282" s="2">
        <v>811.29</v>
      </c>
    </row>
    <row r="1283" spans="7:10" ht="15">
      <c r="G1283" t="s">
        <v>13</v>
      </c>
      <c r="H1283" t="str">
        <f>"1347315"</f>
        <v>1347315</v>
      </c>
      <c r="I1283" t="str">
        <f t="shared" si="33"/>
        <v>BUREAU VERITAS NORTH AMERICA</v>
      </c>
      <c r="J1283" s="2">
        <v>797.85</v>
      </c>
    </row>
    <row r="1284" spans="7:10" ht="15">
      <c r="G1284" t="s">
        <v>13</v>
      </c>
      <c r="H1284" t="str">
        <f>"1347316"</f>
        <v>1347316</v>
      </c>
      <c r="I1284" t="str">
        <f t="shared" si="33"/>
        <v>BUREAU VERITAS NORTH AMERICA</v>
      </c>
      <c r="J1284" s="2">
        <v>76.92</v>
      </c>
    </row>
    <row r="1285" spans="7:10" ht="15">
      <c r="G1285" t="s">
        <v>13</v>
      </c>
      <c r="H1285" t="str">
        <f>"1347317"</f>
        <v>1347317</v>
      </c>
      <c r="I1285" t="str">
        <f t="shared" si="33"/>
        <v>BUREAU VERITAS NORTH AMERICA</v>
      </c>
      <c r="J1285" s="2">
        <v>76.92</v>
      </c>
    </row>
    <row r="1286" spans="7:10" ht="15">
      <c r="G1286" t="s">
        <v>13</v>
      </c>
      <c r="H1286" t="str">
        <f>"1347318"</f>
        <v>1347318</v>
      </c>
      <c r="I1286" t="str">
        <f t="shared" si="33"/>
        <v>BUREAU VERITAS NORTH AMERICA</v>
      </c>
      <c r="J1286" s="2">
        <v>76.92</v>
      </c>
    </row>
    <row r="1287" spans="7:10" ht="15">
      <c r="G1287" t="s">
        <v>13</v>
      </c>
      <c r="H1287" t="str">
        <f>"1347319"</f>
        <v>1347319</v>
      </c>
      <c r="I1287" t="str">
        <f t="shared" si="33"/>
        <v>BUREAU VERITAS NORTH AMERICA</v>
      </c>
      <c r="J1287" s="2">
        <v>76.92</v>
      </c>
    </row>
    <row r="1288" spans="7:10" ht="15">
      <c r="G1288" t="s">
        <v>13</v>
      </c>
      <c r="H1288" t="str">
        <f>"1347322"</f>
        <v>1347322</v>
      </c>
      <c r="I1288" t="str">
        <f t="shared" si="33"/>
        <v>BUREAU VERITAS NORTH AMERICA</v>
      </c>
      <c r="J1288" s="2">
        <v>76.92</v>
      </c>
    </row>
    <row r="1289" spans="7:10" ht="15">
      <c r="G1289" t="s">
        <v>13</v>
      </c>
      <c r="H1289" t="str">
        <f>"1347323"</f>
        <v>1347323</v>
      </c>
      <c r="I1289" t="str">
        <f t="shared" si="33"/>
        <v>BUREAU VERITAS NORTH AMERICA</v>
      </c>
      <c r="J1289" s="2">
        <v>76.92</v>
      </c>
    </row>
    <row r="1290" spans="7:10" ht="15">
      <c r="G1290" t="s">
        <v>13</v>
      </c>
      <c r="H1290" t="str">
        <f>"1347324"</f>
        <v>1347324</v>
      </c>
      <c r="I1290" t="str">
        <f t="shared" si="33"/>
        <v>BUREAU VERITAS NORTH AMERICA</v>
      </c>
      <c r="J1290" s="2">
        <v>76.92</v>
      </c>
    </row>
    <row r="1291" spans="7:10" ht="15">
      <c r="G1291" t="s">
        <v>13</v>
      </c>
      <c r="H1291" t="str">
        <f>"1347325"</f>
        <v>1347325</v>
      </c>
      <c r="I1291" t="str">
        <f t="shared" si="33"/>
        <v>BUREAU VERITAS NORTH AMERICA</v>
      </c>
      <c r="J1291" s="2">
        <v>76.92</v>
      </c>
    </row>
    <row r="1292" spans="7:10" ht="15">
      <c r="G1292" t="s">
        <v>13</v>
      </c>
      <c r="H1292" t="str">
        <f>"1347328"</f>
        <v>1347328</v>
      </c>
      <c r="I1292" t="str">
        <f t="shared" si="33"/>
        <v>BUREAU VERITAS NORTH AMERICA</v>
      </c>
      <c r="J1292" s="2">
        <v>76.92</v>
      </c>
    </row>
    <row r="1293" spans="7:10" ht="15">
      <c r="G1293" t="s">
        <v>13</v>
      </c>
      <c r="H1293" t="str">
        <f>"1347329"</f>
        <v>1347329</v>
      </c>
      <c r="I1293" t="str">
        <f t="shared" si="33"/>
        <v>BUREAU VERITAS NORTH AMERICA</v>
      </c>
      <c r="J1293" s="2">
        <v>450</v>
      </c>
    </row>
    <row r="1294" spans="7:10" ht="15">
      <c r="G1294" t="s">
        <v>13</v>
      </c>
      <c r="H1294" t="str">
        <f>"1347331"</f>
        <v>1347331</v>
      </c>
      <c r="I1294" t="str">
        <f t="shared" si="33"/>
        <v>BUREAU VERITAS NORTH AMERICA</v>
      </c>
      <c r="J1294" s="2">
        <v>76.92</v>
      </c>
    </row>
    <row r="1295" spans="1:10" ht="15">
      <c r="A1295" t="s">
        <v>286</v>
      </c>
      <c r="B1295" t="s">
        <v>11</v>
      </c>
      <c r="C1295">
        <v>53359</v>
      </c>
      <c r="D1295" s="2">
        <v>150</v>
      </c>
      <c r="E1295" s="1">
        <v>42739</v>
      </c>
      <c r="F1295" t="s">
        <v>18</v>
      </c>
      <c r="G1295" t="s">
        <v>13</v>
      </c>
      <c r="H1295" t="str">
        <f>"BW DEP REFUND"</f>
        <v>BW DEP REFUND</v>
      </c>
      <c r="I1295" t="str">
        <f>"BW DEP REFUND"</f>
        <v>BW DEP REFUND</v>
      </c>
      <c r="J1295" s="2">
        <v>150</v>
      </c>
    </row>
    <row r="1296" spans="1:10" ht="15">
      <c r="A1296" t="s">
        <v>47</v>
      </c>
      <c r="B1296" t="s">
        <v>11</v>
      </c>
      <c r="C1296">
        <v>53360</v>
      </c>
      <c r="D1296" s="2">
        <v>1982.77</v>
      </c>
      <c r="E1296" s="1">
        <v>42739</v>
      </c>
      <c r="F1296" t="s">
        <v>18</v>
      </c>
      <c r="G1296" t="s">
        <v>13</v>
      </c>
      <c r="H1296" t="str">
        <f>"12/10/2016"</f>
        <v>12/10/2016</v>
      </c>
      <c r="I1296" t="str">
        <f>"CITY OF FLORESVILLE"</f>
        <v>CITY OF FLORESVILLE</v>
      </c>
      <c r="J1296" s="2">
        <v>1982.77</v>
      </c>
    </row>
    <row r="1297" spans="1:10" ht="15">
      <c r="A1297" t="s">
        <v>93</v>
      </c>
      <c r="B1297" t="s">
        <v>11</v>
      </c>
      <c r="C1297">
        <v>53361</v>
      </c>
      <c r="D1297" s="2">
        <v>2159.04</v>
      </c>
      <c r="E1297" s="1">
        <v>42739</v>
      </c>
      <c r="F1297" t="s">
        <v>18</v>
      </c>
      <c r="G1297" t="s">
        <v>13</v>
      </c>
      <c r="H1297" t="str">
        <f>"E. TORRES"</f>
        <v>E. TORRES</v>
      </c>
      <c r="I1297" t="str">
        <f>"SBS ADMINISTRATIVE SERVICES  L"</f>
        <v>SBS ADMINISTRATIVE SERVICES  L</v>
      </c>
      <c r="J1297" s="2">
        <v>2000</v>
      </c>
    </row>
    <row r="1298" spans="7:10" ht="15">
      <c r="G1298" t="s">
        <v>13</v>
      </c>
      <c r="H1298" t="str">
        <f>"T. BAKER"</f>
        <v>T. BAKER</v>
      </c>
      <c r="I1298" t="str">
        <f>"SBS ADMINISTRATIVE SERVICES  L"</f>
        <v>SBS ADMINISTRATIVE SERVICES  L</v>
      </c>
      <c r="J1298" s="2">
        <v>159.04</v>
      </c>
    </row>
    <row r="1299" spans="1:10" ht="15">
      <c r="A1299" t="s">
        <v>48</v>
      </c>
      <c r="B1299" t="s">
        <v>11</v>
      </c>
      <c r="C1299">
        <v>53362</v>
      </c>
      <c r="D1299" s="2">
        <v>687.84</v>
      </c>
      <c r="E1299" s="1">
        <v>42739</v>
      </c>
      <c r="F1299" t="s">
        <v>18</v>
      </c>
      <c r="G1299" t="s">
        <v>13</v>
      </c>
      <c r="H1299" t="str">
        <f>"3547750380"</f>
        <v>3547750380</v>
      </c>
      <c r="I1299" t="str">
        <f aca="true" t="shared" si="34" ref="I1299:I1304">"AUTOZONE"</f>
        <v>AUTOZONE</v>
      </c>
      <c r="J1299" s="2">
        <v>196.78</v>
      </c>
    </row>
    <row r="1300" spans="7:10" ht="15">
      <c r="G1300" t="s">
        <v>13</v>
      </c>
      <c r="H1300" t="str">
        <f>"3547783042"</f>
        <v>3547783042</v>
      </c>
      <c r="I1300" t="str">
        <f t="shared" si="34"/>
        <v>AUTOZONE</v>
      </c>
      <c r="J1300" s="2">
        <v>221.98</v>
      </c>
    </row>
    <row r="1301" spans="7:10" ht="15">
      <c r="G1301" t="s">
        <v>13</v>
      </c>
      <c r="H1301" t="str">
        <f>"3547785004"</f>
        <v>3547785004</v>
      </c>
      <c r="I1301" t="str">
        <f t="shared" si="34"/>
        <v>AUTOZONE</v>
      </c>
      <c r="J1301" s="2">
        <v>62.97</v>
      </c>
    </row>
    <row r="1302" spans="7:10" ht="15">
      <c r="G1302" t="s">
        <v>13</v>
      </c>
      <c r="H1302" t="str">
        <f>"3547804060"</f>
        <v>3547804060</v>
      </c>
      <c r="I1302" t="str">
        <f t="shared" si="34"/>
        <v>AUTOZONE</v>
      </c>
      <c r="J1302" s="2">
        <v>117.99</v>
      </c>
    </row>
    <row r="1303" spans="7:10" ht="15">
      <c r="G1303" t="s">
        <v>13</v>
      </c>
      <c r="H1303" t="str">
        <f>"3547807938"</f>
        <v>3547807938</v>
      </c>
      <c r="I1303" t="str">
        <f t="shared" si="34"/>
        <v>AUTOZONE</v>
      </c>
      <c r="J1303" s="2">
        <v>28.99</v>
      </c>
    </row>
    <row r="1304" spans="7:10" ht="15">
      <c r="G1304" t="s">
        <v>13</v>
      </c>
      <c r="H1304" t="str">
        <f>"3547808687"</f>
        <v>3547808687</v>
      </c>
      <c r="I1304" t="str">
        <f t="shared" si="34"/>
        <v>AUTOZONE</v>
      </c>
      <c r="J1304" s="2">
        <v>59.13</v>
      </c>
    </row>
    <row r="1305" spans="1:10" ht="15">
      <c r="A1305" t="s">
        <v>50</v>
      </c>
      <c r="B1305" t="s">
        <v>11</v>
      </c>
      <c r="C1305">
        <v>53363</v>
      </c>
      <c r="D1305" s="2">
        <v>266.79</v>
      </c>
      <c r="E1305" s="1">
        <v>42739</v>
      </c>
      <c r="F1305" t="s">
        <v>18</v>
      </c>
      <c r="G1305" t="s">
        <v>13</v>
      </c>
      <c r="H1305" t="str">
        <f>"678762"</f>
        <v>678762</v>
      </c>
      <c r="I1305" t="str">
        <f>"SOUTHWAY FORD"</f>
        <v>SOUTHWAY FORD</v>
      </c>
      <c r="J1305" s="2">
        <v>266.79</v>
      </c>
    </row>
    <row r="1306" spans="1:10" ht="15">
      <c r="A1306" t="s">
        <v>55</v>
      </c>
      <c r="B1306" t="s">
        <v>11</v>
      </c>
      <c r="C1306">
        <v>53364</v>
      </c>
      <c r="D1306" s="2">
        <v>25</v>
      </c>
      <c r="E1306" s="1">
        <v>42739</v>
      </c>
      <c r="F1306" t="s">
        <v>18</v>
      </c>
      <c r="G1306" t="s">
        <v>13</v>
      </c>
      <c r="H1306" t="str">
        <f>"23794"</f>
        <v>23794</v>
      </c>
      <c r="I1306" t="str">
        <f>"PRUSKI'S TIRE SHOP  L.L.C."</f>
        <v>PRUSKI'S TIRE SHOP  L.L.C.</v>
      </c>
      <c r="J1306" s="2">
        <v>12.5</v>
      </c>
    </row>
    <row r="1307" spans="7:10" ht="15">
      <c r="G1307" t="s">
        <v>13</v>
      </c>
      <c r="H1307" t="str">
        <f>"27002"</f>
        <v>27002</v>
      </c>
      <c r="I1307" t="str">
        <f>"PRUSKI'S TIRE SHOP  L.L.C."</f>
        <v>PRUSKI'S TIRE SHOP  L.L.C.</v>
      </c>
      <c r="J1307" s="2">
        <v>12.5</v>
      </c>
    </row>
    <row r="1308" spans="1:10" ht="15">
      <c r="A1308" t="s">
        <v>59</v>
      </c>
      <c r="B1308" t="s">
        <v>11</v>
      </c>
      <c r="C1308">
        <v>53365</v>
      </c>
      <c r="D1308" s="2">
        <v>128.34</v>
      </c>
      <c r="E1308" s="1">
        <v>42739</v>
      </c>
      <c r="F1308" t="s">
        <v>18</v>
      </c>
      <c r="G1308" t="s">
        <v>13</v>
      </c>
      <c r="H1308" t="str">
        <f>"3378054"</f>
        <v>3378054</v>
      </c>
      <c r="I1308" t="str">
        <f>"EWALD TRACTOR SUPPLY"</f>
        <v>EWALD TRACTOR SUPPLY</v>
      </c>
      <c r="J1308" s="2">
        <v>70.47</v>
      </c>
    </row>
    <row r="1309" spans="7:10" ht="15">
      <c r="G1309" t="s">
        <v>13</v>
      </c>
      <c r="H1309" t="str">
        <f>"3378059"</f>
        <v>3378059</v>
      </c>
      <c r="I1309" t="str">
        <f>"EWALD TRACTOR SUPPLY"</f>
        <v>EWALD TRACTOR SUPPLY</v>
      </c>
      <c r="J1309" s="2">
        <v>30.38</v>
      </c>
    </row>
    <row r="1310" spans="7:10" ht="15">
      <c r="G1310" t="s">
        <v>13</v>
      </c>
      <c r="H1310" t="str">
        <f>"3378214"</f>
        <v>3378214</v>
      </c>
      <c r="I1310" t="str">
        <f>"EWALD TRACTOR SUPPLY"</f>
        <v>EWALD TRACTOR SUPPLY</v>
      </c>
      <c r="J1310" s="2">
        <v>27.49</v>
      </c>
    </row>
    <row r="1311" spans="1:10" ht="15">
      <c r="A1311" t="s">
        <v>240</v>
      </c>
      <c r="B1311" t="s">
        <v>11</v>
      </c>
      <c r="C1311">
        <v>53366</v>
      </c>
      <c r="D1311" s="2">
        <v>135.88</v>
      </c>
      <c r="E1311" s="1">
        <v>42739</v>
      </c>
      <c r="F1311" t="s">
        <v>18</v>
      </c>
      <c r="G1311" t="s">
        <v>13</v>
      </c>
      <c r="H1311" t="str">
        <f>"37344"</f>
        <v>37344</v>
      </c>
      <c r="I1311" t="str">
        <f>"PHOTOGRAPHS BY JIM"</f>
        <v>PHOTOGRAPHS BY JIM</v>
      </c>
      <c r="J1311" s="2">
        <v>135.88</v>
      </c>
    </row>
    <row r="1312" spans="1:10" ht="15">
      <c r="A1312" t="s">
        <v>97</v>
      </c>
      <c r="B1312" t="s">
        <v>11</v>
      </c>
      <c r="C1312">
        <v>53367</v>
      </c>
      <c r="D1312" s="2">
        <v>122328.75</v>
      </c>
      <c r="E1312" s="1">
        <v>42739</v>
      </c>
      <c r="F1312" t="s">
        <v>18</v>
      </c>
      <c r="G1312" t="s">
        <v>13</v>
      </c>
      <c r="H1312" t="str">
        <f>"24579"</f>
        <v>24579</v>
      </c>
      <c r="I1312" t="str">
        <f aca="true" t="shared" si="35" ref="I1312:I1318">"M &amp; S ENGINEERING  LLC"</f>
        <v>M &amp; S ENGINEERING  LLC</v>
      </c>
      <c r="J1312" s="2">
        <v>9950</v>
      </c>
    </row>
    <row r="1313" spans="7:10" ht="15">
      <c r="G1313" t="s">
        <v>13</v>
      </c>
      <c r="H1313" t="str">
        <f>"24625"</f>
        <v>24625</v>
      </c>
      <c r="I1313" t="str">
        <f t="shared" si="35"/>
        <v>M &amp; S ENGINEERING  LLC</v>
      </c>
      <c r="J1313" s="2">
        <v>4383.75</v>
      </c>
    </row>
    <row r="1314" spans="7:10" ht="15">
      <c r="G1314" t="s">
        <v>13</v>
      </c>
      <c r="H1314" t="str">
        <f>"24626"</f>
        <v>24626</v>
      </c>
      <c r="I1314" t="str">
        <f t="shared" si="35"/>
        <v>M &amp; S ENGINEERING  LLC</v>
      </c>
      <c r="J1314" s="2">
        <v>18372.5</v>
      </c>
    </row>
    <row r="1315" spans="7:10" ht="15">
      <c r="G1315" t="s">
        <v>13</v>
      </c>
      <c r="H1315" t="str">
        <f>"24694"</f>
        <v>24694</v>
      </c>
      <c r="I1315" t="str">
        <f t="shared" si="35"/>
        <v>M &amp; S ENGINEERING  LLC</v>
      </c>
      <c r="J1315" s="2">
        <v>2570</v>
      </c>
    </row>
    <row r="1316" spans="7:10" ht="15">
      <c r="G1316" t="s">
        <v>13</v>
      </c>
      <c r="H1316" t="str">
        <f>"24796"</f>
        <v>24796</v>
      </c>
      <c r="I1316" t="str">
        <f t="shared" si="35"/>
        <v>M &amp; S ENGINEERING  LLC</v>
      </c>
      <c r="J1316" s="2">
        <v>1302.5</v>
      </c>
    </row>
    <row r="1317" spans="7:10" ht="15">
      <c r="G1317" t="s">
        <v>13</v>
      </c>
      <c r="H1317" t="str">
        <f>"24851"</f>
        <v>24851</v>
      </c>
      <c r="I1317" t="str">
        <f t="shared" si="35"/>
        <v>M &amp; S ENGINEERING  LLC</v>
      </c>
      <c r="J1317" s="2">
        <v>40933.75</v>
      </c>
    </row>
    <row r="1318" spans="7:10" ht="15">
      <c r="G1318" t="s">
        <v>13</v>
      </c>
      <c r="H1318" t="str">
        <f>"25860"</f>
        <v>25860</v>
      </c>
      <c r="I1318" t="str">
        <f t="shared" si="35"/>
        <v>M &amp; S ENGINEERING  LLC</v>
      </c>
      <c r="J1318" s="2">
        <v>44816.25</v>
      </c>
    </row>
    <row r="1319" spans="1:10" ht="15">
      <c r="A1319" t="s">
        <v>64</v>
      </c>
      <c r="B1319" t="s">
        <v>11</v>
      </c>
      <c r="C1319">
        <v>53369</v>
      </c>
      <c r="D1319" s="2">
        <v>10</v>
      </c>
      <c r="E1319" s="1">
        <v>42739</v>
      </c>
      <c r="F1319" t="s">
        <v>18</v>
      </c>
      <c r="G1319" t="s">
        <v>13</v>
      </c>
      <c r="H1319" t="str">
        <f>"722294"</f>
        <v>722294</v>
      </c>
      <c r="I1319" t="str">
        <f>"VILLA TIRES"</f>
        <v>VILLA TIRES</v>
      </c>
      <c r="J1319" s="2">
        <v>10</v>
      </c>
    </row>
    <row r="1320" spans="1:10" ht="15">
      <c r="A1320" t="s">
        <v>287</v>
      </c>
      <c r="B1320" t="s">
        <v>11</v>
      </c>
      <c r="C1320">
        <v>53370</v>
      </c>
      <c r="D1320" s="2">
        <v>2800</v>
      </c>
      <c r="E1320" s="1">
        <v>42739</v>
      </c>
      <c r="F1320" t="s">
        <v>18</v>
      </c>
      <c r="G1320" t="s">
        <v>13</v>
      </c>
      <c r="H1320" t="str">
        <f>"6243"</f>
        <v>6243</v>
      </c>
      <c r="I1320" t="str">
        <f>"ELEGUN ELECTRIC MOTOR AND SERV"</f>
        <v>ELEGUN ELECTRIC MOTOR AND SERV</v>
      </c>
      <c r="J1320" s="2">
        <v>2800</v>
      </c>
    </row>
    <row r="1321" spans="1:10" ht="15">
      <c r="A1321" t="s">
        <v>120</v>
      </c>
      <c r="B1321" t="s">
        <v>11</v>
      </c>
      <c r="C1321">
        <v>53371</v>
      </c>
      <c r="D1321" s="2">
        <v>1043.11</v>
      </c>
      <c r="E1321" s="1">
        <v>42739</v>
      </c>
      <c r="F1321" t="s">
        <v>18</v>
      </c>
      <c r="G1321" t="s">
        <v>13</v>
      </c>
      <c r="H1321" t="str">
        <f>"11138808"</f>
        <v>11138808</v>
      </c>
      <c r="I1321" t="str">
        <f>"MCCOY'S CORPORATION"</f>
        <v>MCCOY'S CORPORATION</v>
      </c>
      <c r="J1321" s="2">
        <v>220.49</v>
      </c>
    </row>
    <row r="1322" spans="7:10" ht="15">
      <c r="G1322" t="s">
        <v>13</v>
      </c>
      <c r="H1322" t="str">
        <f>"11138876"</f>
        <v>11138876</v>
      </c>
      <c r="I1322" t="str">
        <f>"MCCOY'S CORPORATION"</f>
        <v>MCCOY'S CORPORATION</v>
      </c>
      <c r="J1322" s="2">
        <v>822.62</v>
      </c>
    </row>
    <row r="1323" spans="1:10" ht="15">
      <c r="A1323" t="s">
        <v>288</v>
      </c>
      <c r="B1323" t="s">
        <v>11</v>
      </c>
      <c r="C1323">
        <v>53372</v>
      </c>
      <c r="D1323" s="2">
        <v>844.16</v>
      </c>
      <c r="E1323" s="1">
        <v>42739</v>
      </c>
      <c r="F1323" t="s">
        <v>18</v>
      </c>
      <c r="G1323" t="s">
        <v>13</v>
      </c>
      <c r="H1323" t="str">
        <f>"0096527326"</f>
        <v>0096527326</v>
      </c>
      <c r="I1323" t="str">
        <f>"CINTAS FIRE 636525"</f>
        <v>CINTAS FIRE 636525</v>
      </c>
      <c r="J1323" s="2">
        <v>844.16</v>
      </c>
    </row>
    <row r="1324" spans="1:10" ht="15">
      <c r="A1324" t="s">
        <v>122</v>
      </c>
      <c r="B1324" t="s">
        <v>11</v>
      </c>
      <c r="C1324">
        <v>53373</v>
      </c>
      <c r="D1324" s="2">
        <v>19649.95</v>
      </c>
      <c r="E1324" s="1">
        <v>42739</v>
      </c>
      <c r="F1324" t="s">
        <v>18</v>
      </c>
      <c r="G1324" t="s">
        <v>13</v>
      </c>
      <c r="H1324" t="str">
        <f>"201701047864"</f>
        <v>201701047864</v>
      </c>
      <c r="I1324" t="str">
        <f>"AG-PRO COMPANIES"</f>
        <v>AG-PRO COMPANIES</v>
      </c>
      <c r="J1324" s="2">
        <v>19649.95</v>
      </c>
    </row>
    <row r="1325" spans="1:10" ht="15">
      <c r="A1325" t="s">
        <v>210</v>
      </c>
      <c r="B1325" t="s">
        <v>11</v>
      </c>
      <c r="C1325">
        <v>53374</v>
      </c>
      <c r="D1325" s="2">
        <v>80</v>
      </c>
      <c r="E1325" s="1">
        <v>42739</v>
      </c>
      <c r="F1325" t="s">
        <v>18</v>
      </c>
      <c r="G1325" t="s">
        <v>13</v>
      </c>
      <c r="H1325" t="str">
        <f>"12/31/2016"</f>
        <v>12/31/2016</v>
      </c>
      <c r="I1325" t="str">
        <f>"SHARON KERRIGAN"</f>
        <v>SHARON KERRIGAN</v>
      </c>
      <c r="J1325" s="2">
        <v>80</v>
      </c>
    </row>
    <row r="1326" spans="1:10" ht="15">
      <c r="A1326" t="s">
        <v>131</v>
      </c>
      <c r="B1326" t="s">
        <v>11</v>
      </c>
      <c r="C1326">
        <v>53375</v>
      </c>
      <c r="D1326" s="2">
        <v>80</v>
      </c>
      <c r="E1326" s="1">
        <v>42739</v>
      </c>
      <c r="F1326" t="s">
        <v>18</v>
      </c>
      <c r="G1326" t="s">
        <v>13</v>
      </c>
      <c r="H1326" t="str">
        <f>"12/31/16"</f>
        <v>12/31/16</v>
      </c>
      <c r="I1326" t="str">
        <f>"DEBORAH KORCZYK"</f>
        <v>DEBORAH KORCZYK</v>
      </c>
      <c r="J1326" s="2">
        <v>80</v>
      </c>
    </row>
    <row r="1327" spans="1:10" ht="15">
      <c r="A1327" t="s">
        <v>77</v>
      </c>
      <c r="B1327" t="s">
        <v>11</v>
      </c>
      <c r="C1327">
        <v>53376</v>
      </c>
      <c r="D1327" s="2">
        <v>232.68</v>
      </c>
      <c r="E1327" s="1">
        <v>42739</v>
      </c>
      <c r="F1327" t="s">
        <v>18</v>
      </c>
      <c r="G1327" t="s">
        <v>13</v>
      </c>
      <c r="H1327" t="str">
        <f>"012953"</f>
        <v>012953</v>
      </c>
      <c r="I1327" t="str">
        <f>"R &amp; S TEXAS PARTS CO"</f>
        <v>R &amp; S TEXAS PARTS CO</v>
      </c>
      <c r="J1327" s="2">
        <v>3.29</v>
      </c>
    </row>
    <row r="1328" spans="7:10" ht="15">
      <c r="G1328" t="s">
        <v>13</v>
      </c>
      <c r="H1328" t="str">
        <f>"013140"</f>
        <v>013140</v>
      </c>
      <c r="I1328" t="str">
        <f>"R &amp; S TEXAS PARTS CO"</f>
        <v>R &amp; S TEXAS PARTS CO</v>
      </c>
      <c r="J1328" s="2">
        <v>53.99</v>
      </c>
    </row>
    <row r="1329" spans="7:10" ht="15">
      <c r="G1329" t="s">
        <v>13</v>
      </c>
      <c r="H1329" t="str">
        <f>"013327"</f>
        <v>013327</v>
      </c>
      <c r="I1329" t="str">
        <f>"R &amp; S TEXAS PARTS CO"</f>
        <v>R &amp; S TEXAS PARTS CO</v>
      </c>
      <c r="J1329" s="2">
        <v>8.97</v>
      </c>
    </row>
    <row r="1330" spans="7:10" ht="15">
      <c r="G1330" t="s">
        <v>13</v>
      </c>
      <c r="H1330" t="str">
        <f>"013351"</f>
        <v>013351</v>
      </c>
      <c r="I1330" t="str">
        <f>"R &amp; S TEXAS PARTS CO"</f>
        <v>R &amp; S TEXAS PARTS CO</v>
      </c>
      <c r="J1330" s="2">
        <v>26.44</v>
      </c>
    </row>
    <row r="1331" spans="7:10" ht="15">
      <c r="G1331" t="s">
        <v>13</v>
      </c>
      <c r="H1331" t="str">
        <f>"013528"</f>
        <v>013528</v>
      </c>
      <c r="I1331" t="str">
        <f>"R &amp; S TEXAS PARTS CO"</f>
        <v>R &amp; S TEXAS PARTS CO</v>
      </c>
      <c r="J1331" s="2">
        <v>139.99</v>
      </c>
    </row>
    <row r="1332" spans="1:10" ht="15">
      <c r="A1332" t="s">
        <v>105</v>
      </c>
      <c r="B1332" t="s">
        <v>11</v>
      </c>
      <c r="C1332">
        <v>53377</v>
      </c>
      <c r="D1332" s="2">
        <v>2626.74</v>
      </c>
      <c r="E1332" s="1">
        <v>42739</v>
      </c>
      <c r="F1332" t="s">
        <v>18</v>
      </c>
      <c r="G1332" t="s">
        <v>13</v>
      </c>
      <c r="H1332" t="str">
        <f>"1135603"</f>
        <v>1135603</v>
      </c>
      <c r="I1332" t="str">
        <f>"STANTEC CONSULTING SERVICES IN"</f>
        <v>STANTEC CONSULTING SERVICES IN</v>
      </c>
      <c r="J1332" s="2">
        <v>2626.74</v>
      </c>
    </row>
    <row r="1333" spans="1:10" ht="15">
      <c r="A1333" t="s">
        <v>126</v>
      </c>
      <c r="B1333" t="s">
        <v>11</v>
      </c>
      <c r="C1333">
        <v>53378</v>
      </c>
      <c r="D1333" s="2">
        <v>217.1</v>
      </c>
      <c r="E1333" s="1">
        <v>42739</v>
      </c>
      <c r="F1333" t="s">
        <v>18</v>
      </c>
      <c r="G1333" t="s">
        <v>13</v>
      </c>
      <c r="H1333" t="str">
        <f>"201701047863"</f>
        <v>201701047863</v>
      </c>
      <c r="I1333" t="str">
        <f>"SHIRLEY UNDERWOOD"</f>
        <v>SHIRLEY UNDERWOOD</v>
      </c>
      <c r="J1333" s="2">
        <v>217.1</v>
      </c>
    </row>
    <row r="1334" spans="1:10" ht="15">
      <c r="A1334" t="s">
        <v>289</v>
      </c>
      <c r="B1334" t="s">
        <v>11</v>
      </c>
      <c r="C1334">
        <v>53379</v>
      </c>
      <c r="D1334" s="2">
        <v>225</v>
      </c>
      <c r="E1334" s="1">
        <v>42739</v>
      </c>
      <c r="F1334" t="s">
        <v>18</v>
      </c>
      <c r="G1334" t="s">
        <v>13</v>
      </c>
      <c r="H1334" t="str">
        <f>"12/10/2016"</f>
        <v>12/10/2016</v>
      </c>
      <c r="I1334" t="str">
        <f>"JAMES ELECTRICAL  LLC"</f>
        <v>JAMES ELECTRICAL  LLC</v>
      </c>
      <c r="J1334" s="2">
        <v>225</v>
      </c>
    </row>
    <row r="1335" spans="1:10" ht="15">
      <c r="A1335" t="s">
        <v>132</v>
      </c>
      <c r="B1335" t="s">
        <v>11</v>
      </c>
      <c r="C1335">
        <v>53380</v>
      </c>
      <c r="D1335" s="2">
        <v>32772.5</v>
      </c>
      <c r="E1335" s="1">
        <v>42739</v>
      </c>
      <c r="F1335" t="s">
        <v>18</v>
      </c>
      <c r="G1335" t="s">
        <v>13</v>
      </c>
      <c r="H1335" t="str">
        <f>"SRV 10/5-12/16"</f>
        <v>SRV 10/5-12/16</v>
      </c>
      <c r="I1335" t="str">
        <f>"DEBRA J. DOCKERY"</f>
        <v>DEBRA J. DOCKERY</v>
      </c>
      <c r="J1335" s="2">
        <v>32772.5</v>
      </c>
    </row>
    <row r="1336" spans="1:10" ht="15">
      <c r="A1336" t="s">
        <v>290</v>
      </c>
      <c r="B1336" t="s">
        <v>11</v>
      </c>
      <c r="C1336">
        <v>53381</v>
      </c>
      <c r="D1336" s="2">
        <v>4082.5</v>
      </c>
      <c r="E1336" s="1">
        <v>42739</v>
      </c>
      <c r="F1336" t="s">
        <v>18</v>
      </c>
      <c r="G1336" t="s">
        <v>13</v>
      </c>
      <c r="H1336" t="str">
        <f>"141005"</f>
        <v>141005</v>
      </c>
      <c r="I1336" t="str">
        <f>"SUCO INVESTMENTS II  INC"</f>
        <v>SUCO INVESTMENTS II  INC</v>
      </c>
      <c r="J1336" s="2">
        <v>4082.5</v>
      </c>
    </row>
    <row r="1337" spans="1:10" ht="15">
      <c r="A1337" t="s">
        <v>181</v>
      </c>
      <c r="B1337" t="s">
        <v>11</v>
      </c>
      <c r="C1337">
        <v>53382</v>
      </c>
      <c r="D1337" s="2">
        <v>422.19</v>
      </c>
      <c r="E1337" s="1">
        <v>42739</v>
      </c>
      <c r="F1337" t="s">
        <v>18</v>
      </c>
      <c r="G1337" t="s">
        <v>13</v>
      </c>
      <c r="H1337" t="str">
        <f>"50"</f>
        <v>50</v>
      </c>
      <c r="I1337" t="str">
        <f>"WESTON SIGNS LLC"</f>
        <v>WESTON SIGNS LLC</v>
      </c>
      <c r="J1337" s="2">
        <v>422.19</v>
      </c>
    </row>
    <row r="1338" spans="1:10" ht="15">
      <c r="A1338" t="s">
        <v>291</v>
      </c>
      <c r="B1338" t="s">
        <v>11</v>
      </c>
      <c r="C1338">
        <v>53383</v>
      </c>
      <c r="D1338" s="2">
        <v>75</v>
      </c>
      <c r="E1338" s="1">
        <v>42739</v>
      </c>
      <c r="F1338" t="s">
        <v>18</v>
      </c>
      <c r="G1338" t="s">
        <v>13</v>
      </c>
      <c r="H1338" t="str">
        <f>"43866"</f>
        <v>43866</v>
      </c>
      <c r="I1338" t="str">
        <f>"TMHRA"</f>
        <v>TMHRA</v>
      </c>
      <c r="J1338" s="2">
        <v>75</v>
      </c>
    </row>
    <row r="1339" spans="1:10" ht="15">
      <c r="A1339" t="s">
        <v>292</v>
      </c>
      <c r="B1339" t="s">
        <v>11</v>
      </c>
      <c r="C1339">
        <v>53384</v>
      </c>
      <c r="D1339" s="2">
        <v>223.81</v>
      </c>
      <c r="E1339" s="1">
        <v>42739</v>
      </c>
      <c r="F1339" t="s">
        <v>18</v>
      </c>
      <c r="G1339" t="s">
        <v>13</v>
      </c>
      <c r="H1339" t="str">
        <f>"38415"</f>
        <v>38415</v>
      </c>
      <c r="I1339" t="str">
        <f>"FULLER'S ALAMO SAFE AND LOCK"</f>
        <v>FULLER'S ALAMO SAFE AND LOCK</v>
      </c>
      <c r="J1339" s="2">
        <v>223.81</v>
      </c>
    </row>
    <row r="1340" spans="1:10" ht="15">
      <c r="A1340" t="s">
        <v>293</v>
      </c>
      <c r="B1340" t="s">
        <v>11</v>
      </c>
      <c r="C1340">
        <v>53385</v>
      </c>
      <c r="D1340" s="2">
        <v>99.94</v>
      </c>
      <c r="E1340" s="1">
        <v>42739</v>
      </c>
      <c r="F1340" t="s">
        <v>18</v>
      </c>
      <c r="G1340" t="s">
        <v>13</v>
      </c>
      <c r="H1340" t="str">
        <f>"16008854 120716"</f>
        <v>16008854 120716</v>
      </c>
      <c r="I1340" t="str">
        <f>"SPARKLETTS &amp; SIERRA SPRINGS"</f>
        <v>SPARKLETTS &amp; SIERRA SPRINGS</v>
      </c>
      <c r="J1340" s="2">
        <v>99.94</v>
      </c>
    </row>
    <row r="1341" spans="1:10" ht="15">
      <c r="A1341" t="s">
        <v>294</v>
      </c>
      <c r="B1341" t="s">
        <v>11</v>
      </c>
      <c r="C1341">
        <v>53386</v>
      </c>
      <c r="D1341" s="2">
        <v>209</v>
      </c>
      <c r="E1341" s="1">
        <v>42739</v>
      </c>
      <c r="F1341" t="s">
        <v>18</v>
      </c>
      <c r="G1341" t="s">
        <v>13</v>
      </c>
      <c r="H1341" t="str">
        <f>"11551"</f>
        <v>11551</v>
      </c>
      <c r="I1341" t="str">
        <f>"KOLODZIEJ'S"</f>
        <v>KOLODZIEJ'S</v>
      </c>
      <c r="J1341" s="2">
        <v>209</v>
      </c>
    </row>
    <row r="1342" spans="1:10" ht="15">
      <c r="A1342" t="s">
        <v>295</v>
      </c>
      <c r="B1342" t="s">
        <v>11</v>
      </c>
      <c r="C1342">
        <v>53387</v>
      </c>
      <c r="D1342" s="2">
        <v>131850</v>
      </c>
      <c r="E1342" s="1">
        <v>42739</v>
      </c>
      <c r="F1342" t="s">
        <v>18</v>
      </c>
      <c r="G1342" t="s">
        <v>13</v>
      </c>
      <c r="H1342" t="str">
        <f>"COFAP12262016"</f>
        <v>COFAP12262016</v>
      </c>
      <c r="I1342" t="str">
        <f>"HEARTLAND PARK &amp; RECREATION  L"</f>
        <v>HEARTLAND PARK &amp; RECREATION  L</v>
      </c>
      <c r="J1342" s="2">
        <v>131850</v>
      </c>
    </row>
    <row r="1343" spans="1:10" ht="15">
      <c r="A1343" t="s">
        <v>29</v>
      </c>
      <c r="B1343" t="s">
        <v>11</v>
      </c>
      <c r="C1343">
        <v>53397</v>
      </c>
      <c r="D1343" s="2">
        <v>309.37</v>
      </c>
      <c r="E1343" s="1">
        <v>42739</v>
      </c>
      <c r="F1343" t="s">
        <v>18</v>
      </c>
      <c r="G1343" t="s">
        <v>13</v>
      </c>
      <c r="H1343" t="str">
        <f>"CLE201701047865"</f>
        <v>CLE201701047865</v>
      </c>
      <c r="I1343" t="str">
        <f>"CLEAT ONLY DUES"</f>
        <v>CLEAT ONLY DUES</v>
      </c>
      <c r="J1343" s="2">
        <v>13.85</v>
      </c>
    </row>
    <row r="1344" spans="7:10" ht="15">
      <c r="G1344" t="s">
        <v>13</v>
      </c>
      <c r="H1344" t="str">
        <f>"PDD201701047865"</f>
        <v>PDD201701047865</v>
      </c>
      <c r="I1344" t="str">
        <f>"POLICE OFFICERS ASSOC DUES"</f>
        <v>POLICE OFFICERS ASSOC DUES</v>
      </c>
      <c r="J1344" s="2">
        <v>295.52</v>
      </c>
    </row>
    <row r="1345" spans="1:10" ht="15">
      <c r="A1345" t="s">
        <v>30</v>
      </c>
      <c r="B1345" t="s">
        <v>11</v>
      </c>
      <c r="C1345">
        <v>53398</v>
      </c>
      <c r="D1345" s="2">
        <v>1200.46</v>
      </c>
      <c r="E1345" s="1">
        <v>42739</v>
      </c>
      <c r="F1345" t="s">
        <v>18</v>
      </c>
      <c r="G1345" t="s">
        <v>13</v>
      </c>
      <c r="H1345" t="str">
        <f>"CPS201701047865"</f>
        <v>CPS201701047865</v>
      </c>
      <c r="I1345" t="str">
        <f>"G MENDOZA 00123012032010EM5054"</f>
        <v>G MENDOZA 00123012032010EM5054</v>
      </c>
      <c r="J1345" s="2">
        <v>11.54</v>
      </c>
    </row>
    <row r="1346" spans="7:10" ht="15">
      <c r="G1346" t="s">
        <v>13</v>
      </c>
      <c r="H1346" t="str">
        <f>"CS 201701047865"</f>
        <v>CS 201701047865</v>
      </c>
      <c r="I1346" t="str">
        <f>"CAUSE#98EM504113 PEGGY RIVAS"</f>
        <v>CAUSE#98EM504113 PEGGY RIVAS</v>
      </c>
      <c r="J1346" s="2">
        <v>294.46</v>
      </c>
    </row>
    <row r="1347" spans="7:10" ht="15">
      <c r="G1347" t="s">
        <v>13</v>
      </c>
      <c r="H1347" t="str">
        <f>"CS1201701047865"</f>
        <v>CS1201701047865</v>
      </c>
      <c r="I1347" t="str">
        <f>"CAUSE# 10008CVW DEBRA ESQUEDA"</f>
        <v>CAUSE# 10008CVW DEBRA ESQUEDA</v>
      </c>
      <c r="J1347" s="2">
        <v>234.46</v>
      </c>
    </row>
    <row r="1348" spans="7:10" ht="15">
      <c r="G1348" t="s">
        <v>13</v>
      </c>
      <c r="H1348" t="str">
        <f>"CSJ201701047865"</f>
        <v>CSJ201701047865</v>
      </c>
      <c r="I1348" t="str">
        <f>"CAUSE# 0010185272 MARIANN GUTI"</f>
        <v>CAUSE# 0010185272 MARIANN GUTI</v>
      </c>
      <c r="J1348" s="2">
        <v>325.38</v>
      </c>
    </row>
    <row r="1349" spans="7:10" ht="15">
      <c r="G1349" t="s">
        <v>13</v>
      </c>
      <c r="H1349" t="str">
        <f>"CST201701047865"</f>
        <v>CST201701047865</v>
      </c>
      <c r="I1349" t="str">
        <f>"CAUSE #0009418917 SONIA PEREZ"</f>
        <v>CAUSE #0009418917 SONIA PEREZ</v>
      </c>
      <c r="J1349" s="2">
        <v>334.62</v>
      </c>
    </row>
    <row r="1350" spans="1:10" ht="15">
      <c r="A1350" t="s">
        <v>32</v>
      </c>
      <c r="B1350" t="s">
        <v>11</v>
      </c>
      <c r="C1350">
        <v>53399</v>
      </c>
      <c r="D1350" s="2">
        <v>99.1</v>
      </c>
      <c r="E1350" s="1">
        <v>42739</v>
      </c>
      <c r="F1350" t="s">
        <v>18</v>
      </c>
      <c r="G1350" t="s">
        <v>13</v>
      </c>
      <c r="H1350" t="str">
        <f>"MCO201701047865"</f>
        <v>MCO201701047865</v>
      </c>
      <c r="I1350" t="s">
        <v>313</v>
      </c>
      <c r="J1350" s="2">
        <v>99.1</v>
      </c>
    </row>
    <row r="1351" spans="1:10" ht="15">
      <c r="A1351" t="s">
        <v>33</v>
      </c>
      <c r="B1351" t="s">
        <v>11</v>
      </c>
      <c r="C1351">
        <v>53400</v>
      </c>
      <c r="D1351" s="2">
        <v>649</v>
      </c>
      <c r="E1351" s="1">
        <v>42739</v>
      </c>
      <c r="F1351" t="s">
        <v>18</v>
      </c>
      <c r="G1351" t="s">
        <v>13</v>
      </c>
      <c r="H1351" t="str">
        <f>"457201701047865"</f>
        <v>457201701047865</v>
      </c>
      <c r="I1351" t="str">
        <f>"CASE # 180-60751 457B DEDUCT"</f>
        <v>CASE # 180-60751 457B DEDUCT</v>
      </c>
      <c r="J1351" s="2">
        <v>649</v>
      </c>
    </row>
    <row r="1352" spans="1:10" ht="15">
      <c r="A1352" t="s">
        <v>285</v>
      </c>
      <c r="B1352" t="s">
        <v>11</v>
      </c>
      <c r="C1352">
        <v>53401</v>
      </c>
      <c r="D1352" s="2">
        <v>100.99</v>
      </c>
      <c r="E1352" s="1">
        <v>42739</v>
      </c>
      <c r="F1352" t="s">
        <v>18</v>
      </c>
      <c r="G1352" t="s">
        <v>13</v>
      </c>
      <c r="H1352" t="str">
        <f>"44111*"</f>
        <v>44111*</v>
      </c>
      <c r="I1352" t="str">
        <f>"FELUX METAL WORKS &amp; SUPPLY  L."</f>
        <v>FELUX METAL WORKS &amp; SUPPLY  L.</v>
      </c>
      <c r="J1352" s="2">
        <v>85.15</v>
      </c>
    </row>
    <row r="1353" spans="7:10" ht="15">
      <c r="G1353" t="s">
        <v>13</v>
      </c>
      <c r="H1353" t="str">
        <f>"44125"</f>
        <v>44125</v>
      </c>
      <c r="I1353" t="str">
        <f>"FELUX METAL WORKS &amp; SUPPLY  L."</f>
        <v>FELUX METAL WORKS &amp; SUPPLY  L.</v>
      </c>
      <c r="J1353" s="2">
        <v>15.84</v>
      </c>
    </row>
    <row r="1354" spans="1:10" ht="15">
      <c r="A1354" t="s">
        <v>206</v>
      </c>
      <c r="B1354" t="s">
        <v>11</v>
      </c>
      <c r="C1354">
        <v>53402</v>
      </c>
      <c r="D1354" s="2">
        <v>1339</v>
      </c>
      <c r="E1354" s="1">
        <v>42739</v>
      </c>
      <c r="F1354" t="s">
        <v>18</v>
      </c>
      <c r="G1354" t="s">
        <v>13</v>
      </c>
      <c r="H1354" t="str">
        <f>"RUNOFF ELEC"</f>
        <v>RUNOFF ELEC</v>
      </c>
      <c r="I1354" t="str">
        <f>"INEZ CLARICE TRINIDAD"</f>
        <v>INEZ CLARICE TRINIDAD</v>
      </c>
      <c r="J1354" s="2">
        <v>1339</v>
      </c>
    </row>
    <row r="1355" spans="1:10" ht="15">
      <c r="A1355" t="s">
        <v>208</v>
      </c>
      <c r="B1355" t="s">
        <v>11</v>
      </c>
      <c r="C1355">
        <v>53403</v>
      </c>
      <c r="D1355" s="2">
        <v>754</v>
      </c>
      <c r="E1355" s="1">
        <v>42739</v>
      </c>
      <c r="F1355" t="s">
        <v>18</v>
      </c>
      <c r="G1355" t="s">
        <v>13</v>
      </c>
      <c r="H1355" t="str">
        <f>"RUNOFF ELEC"</f>
        <v>RUNOFF ELEC</v>
      </c>
      <c r="I1355" t="str">
        <f>"MARY LOU TORRES"</f>
        <v>MARY LOU TORRES</v>
      </c>
      <c r="J1355" s="2">
        <v>754</v>
      </c>
    </row>
    <row r="1356" spans="1:10" ht="15">
      <c r="A1356" t="s">
        <v>296</v>
      </c>
      <c r="B1356" t="s">
        <v>11</v>
      </c>
      <c r="C1356">
        <v>53404</v>
      </c>
      <c r="D1356" s="2">
        <v>65</v>
      </c>
      <c r="E1356" s="1">
        <v>42739</v>
      </c>
      <c r="F1356" t="s">
        <v>18</v>
      </c>
      <c r="G1356" t="s">
        <v>13</v>
      </c>
      <c r="H1356" t="str">
        <f>"RUNOFF ELEC"</f>
        <v>RUNOFF ELEC</v>
      </c>
      <c r="I1356" t="str">
        <f>"JENNIFER MARIE MURILLO"</f>
        <v>JENNIFER MARIE MURILLO</v>
      </c>
      <c r="J1356" s="2">
        <v>65</v>
      </c>
    </row>
    <row r="1357" spans="1:10" ht="15">
      <c r="A1357" t="s">
        <v>192</v>
      </c>
      <c r="B1357" t="s">
        <v>11</v>
      </c>
      <c r="C1357">
        <v>53405</v>
      </c>
      <c r="D1357" s="2">
        <v>676</v>
      </c>
      <c r="E1357" s="1">
        <v>42739</v>
      </c>
      <c r="F1357" t="s">
        <v>15</v>
      </c>
      <c r="G1357" t="s">
        <v>13</v>
      </c>
      <c r="H1357" t="str">
        <f>"RUNOFF ELEC"</f>
        <v>RUNOFF ELEC</v>
      </c>
      <c r="I1357" t="str">
        <f>"ELDA RODRIGUEZ"</f>
        <v>ELDA RODRIGUEZ</v>
      </c>
      <c r="J1357" s="2">
        <v>676</v>
      </c>
    </row>
    <row r="1358" spans="1:10" ht="15">
      <c r="A1358" t="s">
        <v>192</v>
      </c>
      <c r="B1358" t="s">
        <v>11</v>
      </c>
      <c r="C1358">
        <v>53405</v>
      </c>
      <c r="D1358" s="2">
        <v>676</v>
      </c>
      <c r="E1358" s="1">
        <v>42739</v>
      </c>
      <c r="F1358" t="s">
        <v>15</v>
      </c>
      <c r="G1358" t="s">
        <v>16</v>
      </c>
      <c r="H1358" t="str">
        <f>"CHECK"</f>
        <v>CHECK</v>
      </c>
      <c r="I1358">
        <f>""</f>
      </c>
      <c r="J1358" s="2">
        <v>676</v>
      </c>
    </row>
    <row r="1359" spans="1:10" ht="15">
      <c r="A1359" t="s">
        <v>196</v>
      </c>
      <c r="B1359" t="s">
        <v>11</v>
      </c>
      <c r="C1359">
        <v>53406</v>
      </c>
      <c r="D1359" s="2">
        <v>390</v>
      </c>
      <c r="E1359" s="1">
        <v>42739</v>
      </c>
      <c r="F1359" t="s">
        <v>18</v>
      </c>
      <c r="G1359" t="s">
        <v>13</v>
      </c>
      <c r="H1359" t="str">
        <f>"RUNOFF ELEC"</f>
        <v>RUNOFF ELEC</v>
      </c>
      <c r="I1359" t="str">
        <f>"SUSIE CASTRO"</f>
        <v>SUSIE CASTRO</v>
      </c>
      <c r="J1359" s="2">
        <v>390</v>
      </c>
    </row>
    <row r="1360" spans="1:10" ht="15">
      <c r="A1360" t="s">
        <v>297</v>
      </c>
      <c r="B1360" t="s">
        <v>11</v>
      </c>
      <c r="C1360">
        <v>53407</v>
      </c>
      <c r="D1360" s="2">
        <v>559</v>
      </c>
      <c r="E1360" s="1">
        <v>42739</v>
      </c>
      <c r="F1360" t="s">
        <v>18</v>
      </c>
      <c r="G1360" t="s">
        <v>13</v>
      </c>
      <c r="H1360" t="str">
        <f>"RUNOFF ELEC"</f>
        <v>RUNOFF ELEC</v>
      </c>
      <c r="I1360" t="str">
        <f>"ALLISON LOPEZ"</f>
        <v>ALLISON LOPEZ</v>
      </c>
      <c r="J1360" s="2">
        <v>559</v>
      </c>
    </row>
    <row r="1361" spans="1:10" ht="15">
      <c r="A1361" t="s">
        <v>193</v>
      </c>
      <c r="B1361" t="s">
        <v>11</v>
      </c>
      <c r="C1361">
        <v>53408</v>
      </c>
      <c r="D1361" s="2">
        <v>169</v>
      </c>
      <c r="E1361" s="1">
        <v>42739</v>
      </c>
      <c r="F1361" t="s">
        <v>18</v>
      </c>
      <c r="G1361" t="s">
        <v>13</v>
      </c>
      <c r="H1361" t="str">
        <f>"RUNOFF ELEC"</f>
        <v>RUNOFF ELEC</v>
      </c>
      <c r="I1361" t="str">
        <f>"DONNA PEREZ"</f>
        <v>DONNA PEREZ</v>
      </c>
      <c r="J1361" s="2">
        <v>169</v>
      </c>
    </row>
    <row r="1362" spans="1:10" ht="15">
      <c r="A1362" t="s">
        <v>192</v>
      </c>
      <c r="B1362" t="s">
        <v>11</v>
      </c>
      <c r="C1362">
        <v>53409</v>
      </c>
      <c r="D1362" s="2">
        <v>793</v>
      </c>
      <c r="E1362" s="1">
        <v>42740</v>
      </c>
      <c r="F1362" t="s">
        <v>18</v>
      </c>
      <c r="G1362" t="s">
        <v>13</v>
      </c>
      <c r="H1362" t="str">
        <f>"RUNOFF ELEC*"</f>
        <v>RUNOFF ELEC*</v>
      </c>
      <c r="I1362" t="str">
        <f>"ELDA RODRIGUEZ"</f>
        <v>ELDA RODRIGUEZ</v>
      </c>
      <c r="J1362" s="2">
        <v>793</v>
      </c>
    </row>
    <row r="1363" spans="1:10" ht="15">
      <c r="A1363" t="s">
        <v>21</v>
      </c>
      <c r="B1363" t="s">
        <v>11</v>
      </c>
      <c r="C1363">
        <v>53410</v>
      </c>
      <c r="D1363" s="2">
        <v>3665.16</v>
      </c>
      <c r="E1363" s="1">
        <v>42744</v>
      </c>
      <c r="F1363" t="s">
        <v>18</v>
      </c>
      <c r="G1363" t="s">
        <v>22</v>
      </c>
      <c r="H1363" t="str">
        <f>"238757"</f>
        <v>238757</v>
      </c>
      <c r="I1363" t="str">
        <f>"AFLAC"</f>
        <v>AFLAC</v>
      </c>
      <c r="J1363" s="2">
        <v>1401.84</v>
      </c>
    </row>
    <row r="1364" spans="7:10" ht="15">
      <c r="G1364" t="s">
        <v>13</v>
      </c>
      <c r="H1364" t="str">
        <f>"ACA201612207861"</f>
        <v>ACA201612207861</v>
      </c>
      <c r="I1364" t="str">
        <f>"AFLAC INSURANCE"</f>
        <v>AFLAC INSURANCE</v>
      </c>
      <c r="J1364" s="2">
        <v>128.14</v>
      </c>
    </row>
    <row r="1365" spans="7:10" ht="15">
      <c r="G1365" t="s">
        <v>13</v>
      </c>
      <c r="H1365" t="str">
        <f>"ACA201701047865"</f>
        <v>ACA201701047865</v>
      </c>
      <c r="I1365" t="str">
        <f>"AFLAC INSURANCE"</f>
        <v>AFLAC INSURANCE</v>
      </c>
      <c r="J1365" s="2">
        <v>128.14</v>
      </c>
    </row>
    <row r="1366" spans="7:10" ht="15">
      <c r="G1366" t="s">
        <v>13</v>
      </c>
      <c r="H1366" t="str">
        <f>"AD2201612207861"</f>
        <v>AD2201612207861</v>
      </c>
      <c r="I1366" t="str">
        <f>"AFLAC INSURANCE"</f>
        <v>AFLAC INSURANCE</v>
      </c>
      <c r="J1366" s="2">
        <v>93.78</v>
      </c>
    </row>
    <row r="1367" spans="7:10" ht="15">
      <c r="G1367" t="s">
        <v>13</v>
      </c>
      <c r="H1367" t="str">
        <f>"AD2201701047865"</f>
        <v>AD2201701047865</v>
      </c>
      <c r="I1367" t="str">
        <f>"AFLAC INSURANCE"</f>
        <v>AFLAC INSURANCE</v>
      </c>
      <c r="J1367" s="2">
        <v>93.78</v>
      </c>
    </row>
    <row r="1368" spans="7:10" ht="15">
      <c r="G1368" t="s">
        <v>13</v>
      </c>
      <c r="H1368" t="str">
        <f>"ADR201612207861"</f>
        <v>ADR201612207861</v>
      </c>
      <c r="I1368" t="str">
        <f>"INSURANCE"</f>
        <v>INSURANCE</v>
      </c>
      <c r="J1368" s="2">
        <v>14.46</v>
      </c>
    </row>
    <row r="1369" spans="7:10" ht="15">
      <c r="G1369" t="s">
        <v>13</v>
      </c>
      <c r="H1369" t="str">
        <f>"ADR201701047865"</f>
        <v>ADR201701047865</v>
      </c>
      <c r="I1369" t="str">
        <f>"INSURANCE"</f>
        <v>INSURANCE</v>
      </c>
      <c r="J1369" s="2">
        <v>14.46</v>
      </c>
    </row>
    <row r="1370" spans="7:10" ht="15">
      <c r="G1370" t="s">
        <v>13</v>
      </c>
      <c r="H1370" t="str">
        <f>"AF1201612207861"</f>
        <v>AF1201612207861</v>
      </c>
      <c r="I1370" t="str">
        <f aca="true" t="shared" si="36" ref="I1370:I1375">"AFLAC INSURANCE"</f>
        <v>AFLAC INSURANCE</v>
      </c>
      <c r="J1370" s="2">
        <v>544.24</v>
      </c>
    </row>
    <row r="1371" spans="7:10" ht="15">
      <c r="G1371" t="s">
        <v>13</v>
      </c>
      <c r="H1371" t="str">
        <f>"AF1201701047865"</f>
        <v>AF1201701047865</v>
      </c>
      <c r="I1371" t="str">
        <f t="shared" si="36"/>
        <v>AFLAC INSURANCE</v>
      </c>
      <c r="J1371" s="2">
        <v>544.24</v>
      </c>
    </row>
    <row r="1372" spans="7:10" ht="15">
      <c r="G1372" t="s">
        <v>13</v>
      </c>
      <c r="H1372" t="str">
        <f>"ASP201612207861"</f>
        <v>ASP201612207861</v>
      </c>
      <c r="I1372" t="str">
        <f t="shared" si="36"/>
        <v>AFLAC INSURANCE</v>
      </c>
      <c r="J1372" s="2">
        <v>82.24</v>
      </c>
    </row>
    <row r="1373" spans="7:10" ht="15">
      <c r="G1373" t="s">
        <v>13</v>
      </c>
      <c r="H1373" t="str">
        <f>"ASP201701047865"</f>
        <v>ASP201701047865</v>
      </c>
      <c r="I1373" t="str">
        <f t="shared" si="36"/>
        <v>AFLAC INSURANCE</v>
      </c>
      <c r="J1373" s="2">
        <v>82.24</v>
      </c>
    </row>
    <row r="1374" spans="7:10" ht="15">
      <c r="G1374" t="s">
        <v>13</v>
      </c>
      <c r="H1374" t="str">
        <f>"HCO201612207861"</f>
        <v>HCO201612207861</v>
      </c>
      <c r="I1374" t="str">
        <f t="shared" si="36"/>
        <v>AFLAC INSURANCE</v>
      </c>
      <c r="J1374" s="2">
        <v>132.24</v>
      </c>
    </row>
    <row r="1375" spans="7:10" ht="15">
      <c r="G1375" t="s">
        <v>13</v>
      </c>
      <c r="H1375" t="str">
        <f>"HCO201701047865"</f>
        <v>HCO201701047865</v>
      </c>
      <c r="I1375" t="str">
        <f t="shared" si="36"/>
        <v>AFLAC INSURANCE</v>
      </c>
      <c r="J1375" s="2">
        <v>132.24</v>
      </c>
    </row>
    <row r="1376" spans="7:10" ht="15">
      <c r="G1376" t="s">
        <v>13</v>
      </c>
      <c r="H1376" t="str">
        <f>"STD201612207861"</f>
        <v>STD201612207861</v>
      </c>
      <c r="I1376" t="str">
        <f>"INSURANCE"</f>
        <v>INSURANCE</v>
      </c>
      <c r="J1376" s="2">
        <v>136.56</v>
      </c>
    </row>
    <row r="1377" spans="7:10" ht="15">
      <c r="G1377" t="s">
        <v>13</v>
      </c>
      <c r="H1377" t="str">
        <f>"STD201701047865"</f>
        <v>STD201701047865</v>
      </c>
      <c r="I1377" t="str">
        <f>"INSURANCE"</f>
        <v>INSURANCE</v>
      </c>
      <c r="J1377" s="2">
        <v>136.56</v>
      </c>
    </row>
    <row r="1378" spans="1:10" ht="15">
      <c r="A1378" t="s">
        <v>23</v>
      </c>
      <c r="B1378" t="s">
        <v>11</v>
      </c>
      <c r="C1378">
        <v>53413</v>
      </c>
      <c r="D1378" s="2">
        <v>35708.85</v>
      </c>
      <c r="E1378" s="1">
        <v>42744</v>
      </c>
      <c r="F1378" t="s">
        <v>18</v>
      </c>
      <c r="G1378" t="s">
        <v>22</v>
      </c>
      <c r="H1378" t="str">
        <f>"12/2016"</f>
        <v>12/2016</v>
      </c>
      <c r="I1378" t="str">
        <f>"TEXAS MUNICIPAL RETIREMENT SYS"</f>
        <v>TEXAS MUNICIPAL RETIREMENT SYS</v>
      </c>
      <c r="J1378" s="2">
        <v>470.3</v>
      </c>
    </row>
    <row r="1379" spans="7:10" ht="15">
      <c r="G1379" t="s">
        <v>13</v>
      </c>
      <c r="H1379" t="str">
        <f>"RET201612207861"</f>
        <v>RET201612207861</v>
      </c>
      <c r="I1379" t="str">
        <f>"TMRS CITY OF FLORESVILLE"</f>
        <v>TMRS CITY OF FLORESVILLE</v>
      </c>
      <c r="J1379" s="2">
        <v>17688.76</v>
      </c>
    </row>
    <row r="1380" spans="7:10" ht="15">
      <c r="G1380" t="s">
        <v>13</v>
      </c>
      <c r="H1380" t="str">
        <f>"RET201701047865"</f>
        <v>RET201701047865</v>
      </c>
      <c r="I1380" t="str">
        <f>"TMRS CITY OF FLORESVILLE"</f>
        <v>TMRS CITY OF FLORESVILLE</v>
      </c>
      <c r="J1380" s="2">
        <v>17549.79</v>
      </c>
    </row>
    <row r="1381" spans="1:10" ht="15">
      <c r="A1381" t="s">
        <v>25</v>
      </c>
      <c r="B1381" t="s">
        <v>11</v>
      </c>
      <c r="C1381">
        <v>53416</v>
      </c>
      <c r="D1381" s="2">
        <v>113.2</v>
      </c>
      <c r="E1381" s="1">
        <v>42744</v>
      </c>
      <c r="F1381" t="s">
        <v>18</v>
      </c>
      <c r="G1381" t="s">
        <v>22</v>
      </c>
      <c r="H1381" t="str">
        <f>"201612007"</f>
        <v>201612007</v>
      </c>
      <c r="I1381" t="str">
        <f>"LEGAL PLANS"</f>
        <v>LEGAL PLANS</v>
      </c>
      <c r="J1381" s="2">
        <v>39.64</v>
      </c>
    </row>
    <row r="1382" spans="7:10" ht="15">
      <c r="G1382" t="s">
        <v>13</v>
      </c>
      <c r="H1382" t="str">
        <f>"LEA201612207861"</f>
        <v>LEA201612207861</v>
      </c>
      <c r="I1382" t="str">
        <f>"INSURANCE"</f>
        <v>INSURANCE</v>
      </c>
      <c r="J1382" s="2">
        <v>36.78</v>
      </c>
    </row>
    <row r="1383" spans="7:10" ht="15">
      <c r="G1383" t="s">
        <v>13</v>
      </c>
      <c r="H1383" t="str">
        <f>"LEA201701047865"</f>
        <v>LEA201701047865</v>
      </c>
      <c r="I1383" t="str">
        <f>"INSURANCE"</f>
        <v>INSURANCE</v>
      </c>
      <c r="J1383" s="2">
        <v>36.78</v>
      </c>
    </row>
    <row r="1384" spans="1:10" ht="15">
      <c r="A1384" t="s">
        <v>26</v>
      </c>
      <c r="B1384" t="s">
        <v>11</v>
      </c>
      <c r="C1384">
        <v>53417</v>
      </c>
      <c r="D1384" s="2">
        <v>309.85</v>
      </c>
      <c r="E1384" s="1">
        <v>42744</v>
      </c>
      <c r="F1384" t="s">
        <v>18</v>
      </c>
      <c r="G1384" t="s">
        <v>22</v>
      </c>
      <c r="H1384" t="str">
        <f>"12/15/16"</f>
        <v>12/15/16</v>
      </c>
      <c r="I1384" t="str">
        <f>"LEGALSHIELD"</f>
        <v>LEGALSHIELD</v>
      </c>
      <c r="J1384" s="2">
        <v>31.89</v>
      </c>
    </row>
    <row r="1385" spans="7:10" ht="15">
      <c r="G1385" t="s">
        <v>13</v>
      </c>
      <c r="H1385" t="str">
        <f>"PPL201612207861"</f>
        <v>PPL201612207861</v>
      </c>
      <c r="I1385" t="str">
        <f>"INSURANCE"</f>
        <v>INSURANCE</v>
      </c>
      <c r="J1385" s="2">
        <v>138.98</v>
      </c>
    </row>
    <row r="1386" spans="7:10" ht="15">
      <c r="G1386" t="s">
        <v>13</v>
      </c>
      <c r="H1386" t="str">
        <f>"PPL201701047865"</f>
        <v>PPL201701047865</v>
      </c>
      <c r="I1386" t="str">
        <f>"INSURANCE"</f>
        <v>INSURANCE</v>
      </c>
      <c r="J1386" s="2">
        <v>138.98</v>
      </c>
    </row>
    <row r="1387" spans="1:10" ht="15">
      <c r="A1387" t="s">
        <v>27</v>
      </c>
      <c r="B1387" t="s">
        <v>11</v>
      </c>
      <c r="C1387">
        <v>53418</v>
      </c>
      <c r="D1387" s="2">
        <v>35137.05</v>
      </c>
      <c r="E1387" s="1">
        <v>42744</v>
      </c>
      <c r="F1387" t="s">
        <v>18</v>
      </c>
      <c r="G1387" t="s">
        <v>22</v>
      </c>
      <c r="H1387" t="str">
        <f>"12/16/2016"</f>
        <v>12/16/2016</v>
      </c>
      <c r="I1387" t="str">
        <f>"HEALTH CARE SERVICE CORPORATIO"</f>
        <v>HEALTH CARE SERVICE CORPORATIO</v>
      </c>
      <c r="J1387" s="2">
        <v>2733.49</v>
      </c>
    </row>
    <row r="1388" spans="7:10" ht="15">
      <c r="G1388" t="s">
        <v>13</v>
      </c>
      <c r="H1388" t="str">
        <f>"BME201612207861"</f>
        <v>BME201612207861</v>
      </c>
      <c r="I1388" t="str">
        <f>"INSURANCE"</f>
        <v>INSURANCE</v>
      </c>
      <c r="J1388" s="2">
        <v>7262.28</v>
      </c>
    </row>
    <row r="1389" spans="7:10" ht="15">
      <c r="G1389" t="s">
        <v>13</v>
      </c>
      <c r="H1389" t="str">
        <f>"BME201701047865"</f>
        <v>BME201701047865</v>
      </c>
      <c r="I1389" t="str">
        <f>"INSURANCE"</f>
        <v>INSURANCE</v>
      </c>
      <c r="J1389" s="2">
        <v>7262.28</v>
      </c>
    </row>
    <row r="1390" spans="7:10" ht="15">
      <c r="G1390" t="s">
        <v>13</v>
      </c>
      <c r="H1390" t="str">
        <f>"MED201612207861"</f>
        <v>MED201612207861</v>
      </c>
      <c r="I1390" t="str">
        <f>"INSURANCE"</f>
        <v>INSURANCE</v>
      </c>
      <c r="J1390" s="2">
        <v>8335.85</v>
      </c>
    </row>
    <row r="1391" spans="7:10" ht="15">
      <c r="G1391" t="s">
        <v>13</v>
      </c>
      <c r="H1391" t="str">
        <f>"MED201701047865"</f>
        <v>MED201701047865</v>
      </c>
      <c r="I1391" t="str">
        <f>"INSURANCE"</f>
        <v>INSURANCE</v>
      </c>
      <c r="J1391" s="2">
        <v>8335.85</v>
      </c>
    </row>
    <row r="1392" spans="7:10" ht="15">
      <c r="G1392" t="s">
        <v>13</v>
      </c>
      <c r="H1392" t="str">
        <f>"VLC201612207861"</f>
        <v>VLC201612207861</v>
      </c>
      <c r="I1392" t="str">
        <f>"CHILD LIFE INSURANCE"</f>
        <v>CHILD LIFE INSURANCE</v>
      </c>
      <c r="J1392" s="2">
        <v>42.79</v>
      </c>
    </row>
    <row r="1393" spans="7:10" ht="15">
      <c r="G1393" t="s">
        <v>13</v>
      </c>
      <c r="H1393" t="str">
        <f>"VLC201701047865"</f>
        <v>VLC201701047865</v>
      </c>
      <c r="I1393" t="str">
        <f>"CHILD LIFE INSURANCE"</f>
        <v>CHILD LIFE INSURANCE</v>
      </c>
      <c r="J1393" s="2">
        <v>42.79</v>
      </c>
    </row>
    <row r="1394" spans="7:10" ht="15">
      <c r="G1394" t="s">
        <v>13</v>
      </c>
      <c r="H1394" t="str">
        <f>"VLS201612207861"</f>
        <v>VLS201612207861</v>
      </c>
      <c r="I1394" t="str">
        <f>"SPOUSE LIFE"</f>
        <v>SPOUSE LIFE</v>
      </c>
      <c r="J1394" s="2">
        <v>121.82</v>
      </c>
    </row>
    <row r="1395" spans="7:10" ht="15">
      <c r="G1395" t="s">
        <v>13</v>
      </c>
      <c r="H1395" t="str">
        <f>"VLS201701047865"</f>
        <v>VLS201701047865</v>
      </c>
      <c r="I1395" t="str">
        <f>"SPOUSE LIFE"</f>
        <v>SPOUSE LIFE</v>
      </c>
      <c r="J1395" s="2">
        <v>121.82</v>
      </c>
    </row>
    <row r="1396" spans="7:10" ht="15">
      <c r="G1396" t="s">
        <v>13</v>
      </c>
      <c r="H1396" t="str">
        <f>"VOE201612207861"</f>
        <v>VOE201612207861</v>
      </c>
      <c r="I1396" t="str">
        <f>"EMPLOYEE LIFE"</f>
        <v>EMPLOYEE LIFE</v>
      </c>
      <c r="J1396" s="2">
        <v>27.38</v>
      </c>
    </row>
    <row r="1397" spans="7:10" ht="15">
      <c r="G1397" t="s">
        <v>13</v>
      </c>
      <c r="H1397" t="str">
        <f>"VOE201701047865"</f>
        <v>VOE201701047865</v>
      </c>
      <c r="I1397" t="str">
        <f>"EMPLOYEE LIFE"</f>
        <v>EMPLOYEE LIFE</v>
      </c>
      <c r="J1397" s="2">
        <v>27.38</v>
      </c>
    </row>
    <row r="1398" spans="7:10" ht="15">
      <c r="G1398" t="s">
        <v>13</v>
      </c>
      <c r="H1398" t="str">
        <f>"VOL201612207861"</f>
        <v>VOL201612207861</v>
      </c>
      <c r="I1398" t="str">
        <f>"LIFE"</f>
        <v>LIFE</v>
      </c>
      <c r="J1398" s="2">
        <v>411.66</v>
      </c>
    </row>
    <row r="1399" spans="7:10" ht="15">
      <c r="G1399" t="s">
        <v>13</v>
      </c>
      <c r="H1399" t="str">
        <f>"VOL201701047865"</f>
        <v>VOL201701047865</v>
      </c>
      <c r="I1399" t="str">
        <f>"LIFE"</f>
        <v>LIFE</v>
      </c>
      <c r="J1399" s="2">
        <v>411.66</v>
      </c>
    </row>
    <row r="1400" spans="1:10" ht="15">
      <c r="A1400" t="s">
        <v>28</v>
      </c>
      <c r="B1400" t="s">
        <v>11</v>
      </c>
      <c r="C1400">
        <v>53424</v>
      </c>
      <c r="D1400" s="2">
        <v>2426.29</v>
      </c>
      <c r="E1400" s="1">
        <v>42744</v>
      </c>
      <c r="F1400" t="s">
        <v>18</v>
      </c>
      <c r="G1400" t="s">
        <v>22</v>
      </c>
      <c r="H1400" t="str">
        <f>"12/2016"</f>
        <v>12/2016</v>
      </c>
      <c r="I1400" t="str">
        <f>"DEARBORN NATIONAL"</f>
        <v>DEARBORN NATIONAL</v>
      </c>
      <c r="J1400" s="2">
        <v>2407.41</v>
      </c>
    </row>
    <row r="1401" spans="7:10" ht="15">
      <c r="G1401" t="s">
        <v>13</v>
      </c>
      <c r="H1401" t="str">
        <f>"ADD201612207861"</f>
        <v>ADD201612207861</v>
      </c>
      <c r="I1401" t="str">
        <f>"AD&amp;D"</f>
        <v>AD&amp;D</v>
      </c>
      <c r="J1401" s="2">
        <v>0.98</v>
      </c>
    </row>
    <row r="1402" spans="7:10" ht="15">
      <c r="G1402" t="s">
        <v>13</v>
      </c>
      <c r="H1402" t="str">
        <f>"ADD201701047865"</f>
        <v>ADD201701047865</v>
      </c>
      <c r="I1402" t="str">
        <f>"AD&amp;D"</f>
        <v>AD&amp;D</v>
      </c>
      <c r="J1402" s="2">
        <v>0.98</v>
      </c>
    </row>
    <row r="1403" spans="7:10" ht="15">
      <c r="G1403" t="s">
        <v>13</v>
      </c>
      <c r="H1403" t="str">
        <f>"LIF201612207861"</f>
        <v>LIF201612207861</v>
      </c>
      <c r="I1403" t="str">
        <f>"INSURANCE"</f>
        <v>INSURANCE</v>
      </c>
      <c r="J1403" s="2">
        <v>8.46</v>
      </c>
    </row>
    <row r="1404" spans="7:10" ht="15">
      <c r="G1404" t="s">
        <v>13</v>
      </c>
      <c r="H1404" t="str">
        <f>"LIF201701047865"</f>
        <v>LIF201701047865</v>
      </c>
      <c r="I1404" t="str">
        <f>"INSURANCE"</f>
        <v>INSURANCE</v>
      </c>
      <c r="J1404" s="2">
        <v>8.46</v>
      </c>
    </row>
    <row r="1405" spans="1:10" ht="15">
      <c r="A1405" t="s">
        <v>34</v>
      </c>
      <c r="B1405" t="s">
        <v>11</v>
      </c>
      <c r="C1405">
        <v>53429</v>
      </c>
      <c r="D1405" s="2">
        <v>100</v>
      </c>
      <c r="E1405" s="1">
        <v>42747</v>
      </c>
      <c r="F1405" t="s">
        <v>18</v>
      </c>
      <c r="G1405" t="s">
        <v>13</v>
      </c>
      <c r="H1405" t="str">
        <f>"156675"</f>
        <v>156675</v>
      </c>
      <c r="I1405" t="str">
        <f aca="true" t="shared" si="37" ref="I1405:I1414">"GERALD LUBIANSKI ENTERPRISES"</f>
        <v>GERALD LUBIANSKI ENTERPRISES</v>
      </c>
      <c r="J1405" s="2">
        <v>10</v>
      </c>
    </row>
    <row r="1406" spans="7:10" ht="15">
      <c r="G1406" t="s">
        <v>13</v>
      </c>
      <c r="H1406" t="str">
        <f>"156679"</f>
        <v>156679</v>
      </c>
      <c r="I1406" t="str">
        <f t="shared" si="37"/>
        <v>GERALD LUBIANSKI ENTERPRISES</v>
      </c>
      <c r="J1406" s="2">
        <v>10</v>
      </c>
    </row>
    <row r="1407" spans="7:10" ht="15">
      <c r="G1407" t="s">
        <v>13</v>
      </c>
      <c r="H1407" t="str">
        <f>"156750"</f>
        <v>156750</v>
      </c>
      <c r="I1407" t="str">
        <f t="shared" si="37"/>
        <v>GERALD LUBIANSKI ENTERPRISES</v>
      </c>
      <c r="J1407" s="2">
        <v>10</v>
      </c>
    </row>
    <row r="1408" spans="7:10" ht="15">
      <c r="G1408" t="s">
        <v>13</v>
      </c>
      <c r="H1408" t="str">
        <f>"156763"</f>
        <v>156763</v>
      </c>
      <c r="I1408" t="str">
        <f t="shared" si="37"/>
        <v>GERALD LUBIANSKI ENTERPRISES</v>
      </c>
      <c r="J1408" s="2">
        <v>10</v>
      </c>
    </row>
    <row r="1409" spans="7:10" ht="15">
      <c r="G1409" t="s">
        <v>13</v>
      </c>
      <c r="H1409" t="str">
        <f>"156787"</f>
        <v>156787</v>
      </c>
      <c r="I1409" t="str">
        <f t="shared" si="37"/>
        <v>GERALD LUBIANSKI ENTERPRISES</v>
      </c>
      <c r="J1409" s="2">
        <v>10</v>
      </c>
    </row>
    <row r="1410" spans="7:10" ht="15">
      <c r="G1410" t="s">
        <v>13</v>
      </c>
      <c r="H1410" t="str">
        <f>"156814"</f>
        <v>156814</v>
      </c>
      <c r="I1410" t="str">
        <f t="shared" si="37"/>
        <v>GERALD LUBIANSKI ENTERPRISES</v>
      </c>
      <c r="J1410" s="2">
        <v>10</v>
      </c>
    </row>
    <row r="1411" spans="7:10" ht="15">
      <c r="G1411" t="s">
        <v>13</v>
      </c>
      <c r="H1411" t="str">
        <f>"156842"</f>
        <v>156842</v>
      </c>
      <c r="I1411" t="str">
        <f t="shared" si="37"/>
        <v>GERALD LUBIANSKI ENTERPRISES</v>
      </c>
      <c r="J1411" s="2">
        <v>10</v>
      </c>
    </row>
    <row r="1412" spans="7:10" ht="15">
      <c r="G1412" t="s">
        <v>13</v>
      </c>
      <c r="H1412" t="str">
        <f>"156902"</f>
        <v>156902</v>
      </c>
      <c r="I1412" t="str">
        <f t="shared" si="37"/>
        <v>GERALD LUBIANSKI ENTERPRISES</v>
      </c>
      <c r="J1412" s="2">
        <v>10</v>
      </c>
    </row>
    <row r="1413" spans="7:10" ht="15">
      <c r="G1413" t="s">
        <v>13</v>
      </c>
      <c r="H1413" t="str">
        <f>"156965"</f>
        <v>156965</v>
      </c>
      <c r="I1413" t="str">
        <f t="shared" si="37"/>
        <v>GERALD LUBIANSKI ENTERPRISES</v>
      </c>
      <c r="J1413" s="2">
        <v>10</v>
      </c>
    </row>
    <row r="1414" spans="7:10" ht="15">
      <c r="G1414" t="s">
        <v>13</v>
      </c>
      <c r="H1414" t="str">
        <f>"156977"</f>
        <v>156977</v>
      </c>
      <c r="I1414" t="str">
        <f t="shared" si="37"/>
        <v>GERALD LUBIANSKI ENTERPRISES</v>
      </c>
      <c r="J1414" s="2">
        <v>10</v>
      </c>
    </row>
    <row r="1415" spans="1:10" ht="15">
      <c r="A1415" t="s">
        <v>298</v>
      </c>
      <c r="B1415" t="s">
        <v>11</v>
      </c>
      <c r="C1415">
        <v>53431</v>
      </c>
      <c r="D1415" s="2">
        <v>240</v>
      </c>
      <c r="E1415" s="1">
        <v>42747</v>
      </c>
      <c r="F1415" t="s">
        <v>18</v>
      </c>
      <c r="G1415" t="s">
        <v>13</v>
      </c>
      <c r="H1415" t="str">
        <f>"371730"</f>
        <v>371730</v>
      </c>
      <c r="I1415" t="str">
        <f>"A-Z COMMUNICATIONS"</f>
        <v>A-Z COMMUNICATIONS</v>
      </c>
      <c r="J1415" s="2">
        <v>240</v>
      </c>
    </row>
    <row r="1416" spans="1:10" ht="15">
      <c r="A1416" t="s">
        <v>108</v>
      </c>
      <c r="B1416" t="s">
        <v>11</v>
      </c>
      <c r="C1416">
        <v>53432</v>
      </c>
      <c r="D1416" s="2">
        <v>267.35</v>
      </c>
      <c r="E1416" s="1">
        <v>42747</v>
      </c>
      <c r="F1416" t="s">
        <v>18</v>
      </c>
      <c r="G1416" t="s">
        <v>13</v>
      </c>
      <c r="H1416" t="str">
        <f>"067975"</f>
        <v>067975</v>
      </c>
      <c r="I1416" t="str">
        <f>"HART INTERCIVIC"</f>
        <v>HART INTERCIVIC</v>
      </c>
      <c r="J1416" s="2">
        <v>267.35</v>
      </c>
    </row>
    <row r="1417" spans="1:10" ht="15">
      <c r="A1417" t="s">
        <v>228</v>
      </c>
      <c r="B1417" t="s">
        <v>11</v>
      </c>
      <c r="C1417">
        <v>53433</v>
      </c>
      <c r="D1417" s="2">
        <v>174.06</v>
      </c>
      <c r="E1417" s="1">
        <v>42747</v>
      </c>
      <c r="F1417" t="s">
        <v>18</v>
      </c>
      <c r="G1417" t="s">
        <v>13</v>
      </c>
      <c r="H1417" t="str">
        <f>"2710"</f>
        <v>2710</v>
      </c>
      <c r="I1417" t="str">
        <f>"ROBERT L SRALLA DBA/SRALLA ELE"</f>
        <v>ROBERT L SRALLA DBA/SRALLA ELE</v>
      </c>
      <c r="J1417" s="2">
        <v>174.06</v>
      </c>
    </row>
    <row r="1418" spans="1:10" ht="15">
      <c r="A1418" t="s">
        <v>137</v>
      </c>
      <c r="B1418" t="s">
        <v>11</v>
      </c>
      <c r="C1418">
        <v>53434</v>
      </c>
      <c r="D1418" s="2">
        <v>172.81</v>
      </c>
      <c r="E1418" s="1">
        <v>42747</v>
      </c>
      <c r="F1418" t="s">
        <v>18</v>
      </c>
      <c r="G1418" t="s">
        <v>13</v>
      </c>
      <c r="H1418" t="str">
        <f>"201701107880"</f>
        <v>201701107880</v>
      </c>
      <c r="I1418" t="str">
        <f>"WAL-MART BUSINESS/SYNCB"</f>
        <v>WAL-MART BUSINESS/SYNCB</v>
      </c>
      <c r="J1418" s="2">
        <v>172.81</v>
      </c>
    </row>
    <row r="1419" spans="1:10" ht="15">
      <c r="A1419" t="s">
        <v>36</v>
      </c>
      <c r="B1419" t="s">
        <v>11</v>
      </c>
      <c r="C1419">
        <v>53435</v>
      </c>
      <c r="D1419" s="2">
        <v>896.79</v>
      </c>
      <c r="E1419" s="1">
        <v>42747</v>
      </c>
      <c r="F1419" t="s">
        <v>18</v>
      </c>
      <c r="G1419" t="s">
        <v>13</v>
      </c>
      <c r="H1419" t="str">
        <f>"12/2016"</f>
        <v>12/2016</v>
      </c>
      <c r="I1419" t="str">
        <f>"WILSON COUNTY HARDWARE"</f>
        <v>WILSON COUNTY HARDWARE</v>
      </c>
      <c r="J1419" s="2">
        <v>896.79</v>
      </c>
    </row>
    <row r="1420" spans="1:10" ht="15">
      <c r="A1420" t="s">
        <v>299</v>
      </c>
      <c r="B1420" t="s">
        <v>11</v>
      </c>
      <c r="C1420">
        <v>53436</v>
      </c>
      <c r="D1420" s="2">
        <v>917</v>
      </c>
      <c r="E1420" s="1">
        <v>42747</v>
      </c>
      <c r="F1420" t="s">
        <v>18</v>
      </c>
      <c r="G1420" t="s">
        <v>13</v>
      </c>
      <c r="H1420" t="str">
        <f>"LI-4195"</f>
        <v>LI-4195</v>
      </c>
      <c r="I1420" t="str">
        <f aca="true" t="shared" si="38" ref="I1420:I1426">"BEXAR COUNTY CLERK"</f>
        <v>BEXAR COUNTY CLERK</v>
      </c>
      <c r="J1420" s="2">
        <v>57</v>
      </c>
    </row>
    <row r="1421" spans="7:10" ht="15">
      <c r="G1421" t="s">
        <v>13</v>
      </c>
      <c r="H1421" t="str">
        <f>"LI-4196"</f>
        <v>LI-4196</v>
      </c>
      <c r="I1421" t="str">
        <f t="shared" si="38"/>
        <v>BEXAR COUNTY CLERK</v>
      </c>
      <c r="J1421" s="2">
        <v>57</v>
      </c>
    </row>
    <row r="1422" spans="7:10" ht="15">
      <c r="G1422" t="s">
        <v>13</v>
      </c>
      <c r="H1422" t="str">
        <f>"LI-4197"</f>
        <v>LI-4197</v>
      </c>
      <c r="I1422" t="str">
        <f t="shared" si="38"/>
        <v>BEXAR COUNTY CLERK</v>
      </c>
      <c r="J1422" s="2">
        <v>57</v>
      </c>
    </row>
    <row r="1423" spans="7:10" ht="15">
      <c r="G1423" t="s">
        <v>13</v>
      </c>
      <c r="H1423" t="str">
        <f>"LI-4198"</f>
        <v>LI-4198</v>
      </c>
      <c r="I1423" t="str">
        <f t="shared" si="38"/>
        <v>BEXAR COUNTY CLERK</v>
      </c>
      <c r="J1423" s="2">
        <v>94</v>
      </c>
    </row>
    <row r="1424" spans="7:10" ht="15">
      <c r="G1424" t="s">
        <v>13</v>
      </c>
      <c r="H1424" t="str">
        <f>"LI-4199"</f>
        <v>LI-4199</v>
      </c>
      <c r="I1424" t="str">
        <f t="shared" si="38"/>
        <v>BEXAR COUNTY CLERK</v>
      </c>
      <c r="J1424" s="2">
        <v>94</v>
      </c>
    </row>
    <row r="1425" spans="7:10" ht="15">
      <c r="G1425" t="s">
        <v>13</v>
      </c>
      <c r="H1425" t="str">
        <f>"LI-4200"</f>
        <v>LI-4200</v>
      </c>
      <c r="I1425" t="str">
        <f t="shared" si="38"/>
        <v>BEXAR COUNTY CLERK</v>
      </c>
      <c r="J1425" s="2">
        <v>205</v>
      </c>
    </row>
    <row r="1426" spans="7:10" ht="15">
      <c r="G1426" t="s">
        <v>13</v>
      </c>
      <c r="H1426" t="str">
        <f>"LI-4201"</f>
        <v>LI-4201</v>
      </c>
      <c r="I1426" t="str">
        <f t="shared" si="38"/>
        <v>BEXAR COUNTY CLERK</v>
      </c>
      <c r="J1426" s="2">
        <v>353</v>
      </c>
    </row>
    <row r="1427" spans="1:10" ht="15">
      <c r="A1427" t="s">
        <v>300</v>
      </c>
      <c r="B1427" t="s">
        <v>11</v>
      </c>
      <c r="C1427">
        <v>53438</v>
      </c>
      <c r="D1427" s="2">
        <v>2274.56</v>
      </c>
      <c r="E1427" s="1">
        <v>42747</v>
      </c>
      <c r="F1427" t="s">
        <v>18</v>
      </c>
      <c r="G1427" t="s">
        <v>13</v>
      </c>
      <c r="H1427" t="str">
        <f>"164333"</f>
        <v>164333</v>
      </c>
      <c r="I1427" t="str">
        <f>"STILLWATER MACHINE  LLC"</f>
        <v>STILLWATER MACHINE  LLC</v>
      </c>
      <c r="J1427" s="2">
        <v>2274.56</v>
      </c>
    </row>
    <row r="1428" spans="1:10" ht="15">
      <c r="A1428" t="s">
        <v>138</v>
      </c>
      <c r="B1428" t="s">
        <v>11</v>
      </c>
      <c r="C1428">
        <v>53439</v>
      </c>
      <c r="D1428" s="2">
        <v>120865.67</v>
      </c>
      <c r="E1428" s="1">
        <v>42747</v>
      </c>
      <c r="F1428" t="s">
        <v>18</v>
      </c>
      <c r="G1428" t="s">
        <v>13</v>
      </c>
      <c r="H1428" t="str">
        <f>"4378"</f>
        <v>4378</v>
      </c>
      <c r="I1428" t="str">
        <f>"F. E. D. C."</f>
        <v>F. E. D. C.</v>
      </c>
      <c r="J1428" s="2">
        <v>62613.46</v>
      </c>
    </row>
    <row r="1429" spans="7:10" ht="15">
      <c r="G1429" t="s">
        <v>13</v>
      </c>
      <c r="H1429" t="str">
        <f>"4380"</f>
        <v>4380</v>
      </c>
      <c r="I1429" t="str">
        <f>"F. E. D. C."</f>
        <v>F. E. D. C.</v>
      </c>
      <c r="J1429" s="2">
        <v>58252.21</v>
      </c>
    </row>
    <row r="1430" spans="1:10" ht="15">
      <c r="A1430" t="s">
        <v>109</v>
      </c>
      <c r="B1430" t="s">
        <v>11</v>
      </c>
      <c r="C1430">
        <v>53440</v>
      </c>
      <c r="D1430" s="2">
        <v>1331.68</v>
      </c>
      <c r="E1430" s="1">
        <v>42747</v>
      </c>
      <c r="F1430" t="s">
        <v>18</v>
      </c>
      <c r="G1430" t="s">
        <v>13</v>
      </c>
      <c r="H1430" t="str">
        <f>"CD 12/31/2016"</f>
        <v>CD 12/31/2016</v>
      </c>
      <c r="I1430" t="str">
        <f>"WILSON COUNTY NEWS"</f>
        <v>WILSON COUNTY NEWS</v>
      </c>
      <c r="J1430" s="2">
        <v>1331.68</v>
      </c>
    </row>
    <row r="1431" spans="1:10" ht="15">
      <c r="A1431" t="s">
        <v>301</v>
      </c>
      <c r="B1431" t="s">
        <v>11</v>
      </c>
      <c r="C1431">
        <v>53441</v>
      </c>
      <c r="D1431" s="2">
        <v>42344</v>
      </c>
      <c r="E1431" s="1">
        <v>42747</v>
      </c>
      <c r="F1431" t="s">
        <v>18</v>
      </c>
      <c r="G1431" t="s">
        <v>13</v>
      </c>
      <c r="H1431" t="str">
        <f>"201701097875"</f>
        <v>201701097875</v>
      </c>
      <c r="I1431" t="str">
        <f>"TEXAS MUNICIPAL LEAGUE INTERGO"</f>
        <v>TEXAS MUNICIPAL LEAGUE INTERGO</v>
      </c>
      <c r="J1431" s="2">
        <v>42344</v>
      </c>
    </row>
    <row r="1432" spans="1:10" ht="15">
      <c r="A1432" t="s">
        <v>110</v>
      </c>
      <c r="B1432" t="s">
        <v>11</v>
      </c>
      <c r="C1432">
        <v>53442</v>
      </c>
      <c r="D1432" s="2">
        <v>85</v>
      </c>
      <c r="E1432" s="1">
        <v>42747</v>
      </c>
      <c r="F1432" t="s">
        <v>18</v>
      </c>
      <c r="G1432" t="s">
        <v>13</v>
      </c>
      <c r="H1432" t="str">
        <f>"9704"</f>
        <v>9704</v>
      </c>
      <c r="I1432" t="str">
        <f>"HILL PEST CONTROL COMPANY"</f>
        <v>HILL PEST CONTROL COMPANY</v>
      </c>
      <c r="J1432" s="2">
        <v>85</v>
      </c>
    </row>
    <row r="1433" spans="1:10" ht="15">
      <c r="A1433" t="s">
        <v>38</v>
      </c>
      <c r="B1433" t="s">
        <v>11</v>
      </c>
      <c r="C1433">
        <v>53443</v>
      </c>
      <c r="D1433" s="2">
        <v>2846.43</v>
      </c>
      <c r="E1433" s="1">
        <v>42747</v>
      </c>
      <c r="F1433" t="s">
        <v>18</v>
      </c>
      <c r="G1433" t="s">
        <v>13</v>
      </c>
      <c r="H1433" t="str">
        <f>"0830380-2"</f>
        <v>0830380-2</v>
      </c>
      <c r="I1433" t="str">
        <f>"FERGUSON WATERWORKS - MUNICIPA"</f>
        <v>FERGUSON WATERWORKS - MUNICIPA</v>
      </c>
      <c r="J1433" s="2">
        <v>319.98</v>
      </c>
    </row>
    <row r="1434" spans="7:10" ht="15">
      <c r="G1434" t="s">
        <v>13</v>
      </c>
      <c r="H1434" t="str">
        <f>"0830380-3"</f>
        <v>0830380-3</v>
      </c>
      <c r="I1434" t="str">
        <f>"FERGUSON WATERWORKS - MUNICIPA"</f>
        <v>FERGUSON WATERWORKS - MUNICIPA</v>
      </c>
      <c r="J1434" s="2">
        <v>165.38</v>
      </c>
    </row>
    <row r="1435" spans="7:10" ht="15">
      <c r="G1435" t="s">
        <v>13</v>
      </c>
      <c r="H1435" t="str">
        <f>"0837878"</f>
        <v>0837878</v>
      </c>
      <c r="I1435" t="str">
        <f>"FERGUSON WATERWORKS - MUNICIPA"</f>
        <v>FERGUSON WATERWORKS - MUNICIPA</v>
      </c>
      <c r="J1435" s="2">
        <v>699.08</v>
      </c>
    </row>
    <row r="1436" spans="7:10" ht="15">
      <c r="G1436" t="s">
        <v>13</v>
      </c>
      <c r="H1436" t="str">
        <f>"0837880"</f>
        <v>0837880</v>
      </c>
      <c r="I1436" t="str">
        <f>"FERGUSON WATERWORKS - MUNICIPA"</f>
        <v>FERGUSON WATERWORKS - MUNICIPA</v>
      </c>
      <c r="J1436" s="2">
        <v>1661.99</v>
      </c>
    </row>
    <row r="1437" spans="1:10" ht="15">
      <c r="A1437" t="s">
        <v>39</v>
      </c>
      <c r="B1437" t="s">
        <v>11</v>
      </c>
      <c r="C1437">
        <v>53444</v>
      </c>
      <c r="D1437" s="2">
        <v>108.98</v>
      </c>
      <c r="E1437" s="1">
        <v>42747</v>
      </c>
      <c r="F1437" t="s">
        <v>18</v>
      </c>
      <c r="G1437" t="s">
        <v>13</v>
      </c>
      <c r="H1437" t="str">
        <f>"208463"</f>
        <v>208463</v>
      </c>
      <c r="I1437" t="str">
        <f aca="true" t="shared" si="39" ref="I1437:I1444">"LUBE WORKS"</f>
        <v>LUBE WORKS</v>
      </c>
      <c r="J1437" s="2">
        <v>7</v>
      </c>
    </row>
    <row r="1438" spans="7:10" ht="15">
      <c r="G1438" t="s">
        <v>13</v>
      </c>
      <c r="H1438" t="str">
        <f>"214028"</f>
        <v>214028</v>
      </c>
      <c r="I1438" t="str">
        <f t="shared" si="39"/>
        <v>LUBE WORKS</v>
      </c>
      <c r="J1438" s="2">
        <v>7</v>
      </c>
    </row>
    <row r="1439" spans="7:10" ht="15">
      <c r="G1439" t="s">
        <v>13</v>
      </c>
      <c r="H1439" t="str">
        <f>"214042"</f>
        <v>214042</v>
      </c>
      <c r="I1439" t="str">
        <f t="shared" si="39"/>
        <v>LUBE WORKS</v>
      </c>
      <c r="J1439" s="2">
        <v>7</v>
      </c>
    </row>
    <row r="1440" spans="7:10" ht="15">
      <c r="G1440" t="s">
        <v>13</v>
      </c>
      <c r="H1440" t="str">
        <f>"214047"</f>
        <v>214047</v>
      </c>
      <c r="I1440" t="str">
        <f t="shared" si="39"/>
        <v>LUBE WORKS</v>
      </c>
      <c r="J1440" s="2">
        <v>7</v>
      </c>
    </row>
    <row r="1441" spans="7:10" ht="15">
      <c r="G1441" t="s">
        <v>13</v>
      </c>
      <c r="H1441" t="str">
        <f>"214187"</f>
        <v>214187</v>
      </c>
      <c r="I1441" t="str">
        <f t="shared" si="39"/>
        <v>LUBE WORKS</v>
      </c>
      <c r="J1441" s="2">
        <v>7</v>
      </c>
    </row>
    <row r="1442" spans="7:10" ht="15">
      <c r="G1442" t="s">
        <v>13</v>
      </c>
      <c r="H1442" t="str">
        <f>"220502"</f>
        <v>220502</v>
      </c>
      <c r="I1442" t="str">
        <f t="shared" si="39"/>
        <v>LUBE WORKS</v>
      </c>
      <c r="J1442" s="2">
        <v>59.98</v>
      </c>
    </row>
    <row r="1443" spans="7:10" ht="15">
      <c r="G1443" t="s">
        <v>13</v>
      </c>
      <c r="H1443" t="str">
        <f>"222100"</f>
        <v>222100</v>
      </c>
      <c r="I1443" t="str">
        <f t="shared" si="39"/>
        <v>LUBE WORKS</v>
      </c>
      <c r="J1443" s="2">
        <v>7</v>
      </c>
    </row>
    <row r="1444" spans="7:10" ht="15">
      <c r="G1444" t="s">
        <v>13</v>
      </c>
      <c r="H1444" t="str">
        <f>"228999"</f>
        <v>228999</v>
      </c>
      <c r="I1444" t="str">
        <f t="shared" si="39"/>
        <v>LUBE WORKS</v>
      </c>
      <c r="J1444" s="2">
        <v>7</v>
      </c>
    </row>
    <row r="1445" spans="1:10" ht="15">
      <c r="A1445" t="s">
        <v>111</v>
      </c>
      <c r="B1445" t="s">
        <v>11</v>
      </c>
      <c r="C1445">
        <v>53446</v>
      </c>
      <c r="D1445" s="2">
        <v>78</v>
      </c>
      <c r="E1445" s="1">
        <v>42747</v>
      </c>
      <c r="F1445" t="s">
        <v>18</v>
      </c>
      <c r="G1445" t="s">
        <v>13</v>
      </c>
      <c r="H1445" t="str">
        <f>"OBS16400510"</f>
        <v>OBS16400510</v>
      </c>
      <c r="I1445" t="str">
        <f>"OMNIBASE SERVICES OF TEXAS"</f>
        <v>OMNIBASE SERVICES OF TEXAS</v>
      </c>
      <c r="J1445" s="2">
        <v>78</v>
      </c>
    </row>
    <row r="1446" spans="1:10" ht="15">
      <c r="A1446" t="s">
        <v>229</v>
      </c>
      <c r="B1446" t="s">
        <v>11</v>
      </c>
      <c r="C1446">
        <v>53447</v>
      </c>
      <c r="D1446" s="2">
        <v>176.04</v>
      </c>
      <c r="E1446" s="1">
        <v>42747</v>
      </c>
      <c r="F1446" t="s">
        <v>18</v>
      </c>
      <c r="G1446" t="s">
        <v>13</v>
      </c>
      <c r="H1446" t="str">
        <f>"C092972"</f>
        <v>C092972</v>
      </c>
      <c r="I1446" t="str">
        <f>"MATERA PAPER CO  LTD."</f>
        <v>MATERA PAPER CO  LTD.</v>
      </c>
      <c r="J1446" s="2">
        <v>176.04</v>
      </c>
    </row>
    <row r="1447" spans="1:10" ht="15">
      <c r="A1447" t="s">
        <v>302</v>
      </c>
      <c r="B1447" t="s">
        <v>11</v>
      </c>
      <c r="C1447">
        <v>53448</v>
      </c>
      <c r="D1447" s="2">
        <v>1206.92</v>
      </c>
      <c r="E1447" s="1">
        <v>42747</v>
      </c>
      <c r="F1447" t="s">
        <v>18</v>
      </c>
      <c r="G1447" t="s">
        <v>13</v>
      </c>
      <c r="H1447" t="str">
        <f>"61510277"</f>
        <v>61510277</v>
      </c>
      <c r="I1447" t="str">
        <f>"VULCAN CONSTRUCTION MATERIALS"</f>
        <v>VULCAN CONSTRUCTION MATERIALS</v>
      </c>
      <c r="J1447" s="2">
        <v>1206.92</v>
      </c>
    </row>
    <row r="1448" spans="1:10" ht="15">
      <c r="A1448" t="s">
        <v>43</v>
      </c>
      <c r="B1448" t="s">
        <v>11</v>
      </c>
      <c r="C1448">
        <v>53449</v>
      </c>
      <c r="D1448" s="2">
        <v>243.22</v>
      </c>
      <c r="E1448" s="1">
        <v>42747</v>
      </c>
      <c r="F1448" t="s">
        <v>18</v>
      </c>
      <c r="G1448" t="s">
        <v>13</v>
      </c>
      <c r="H1448" t="str">
        <f>"30112172"</f>
        <v>30112172</v>
      </c>
      <c r="I1448" t="str">
        <f>"DITTMAR LUMBER CO."</f>
        <v>DITTMAR LUMBER CO.</v>
      </c>
      <c r="J1448" s="2">
        <v>83.86</v>
      </c>
    </row>
    <row r="1449" spans="7:10" ht="15">
      <c r="G1449" t="s">
        <v>13</v>
      </c>
      <c r="H1449" t="str">
        <f>"30112617"</f>
        <v>30112617</v>
      </c>
      <c r="I1449" t="str">
        <f>"DITTMAR LUMBER CO."</f>
        <v>DITTMAR LUMBER CO.</v>
      </c>
      <c r="J1449" s="2">
        <v>159.36</v>
      </c>
    </row>
    <row r="1450" spans="1:10" ht="15">
      <c r="A1450" t="s">
        <v>141</v>
      </c>
      <c r="B1450" t="s">
        <v>11</v>
      </c>
      <c r="C1450">
        <v>53450</v>
      </c>
      <c r="D1450" s="2">
        <v>1403.37</v>
      </c>
      <c r="E1450" s="1">
        <v>42747</v>
      </c>
      <c r="F1450" t="s">
        <v>18</v>
      </c>
      <c r="G1450" t="s">
        <v>13</v>
      </c>
      <c r="H1450" t="str">
        <f>"04436414"</f>
        <v>04436414</v>
      </c>
      <c r="I1450" t="str">
        <f>"POOLSURE"</f>
        <v>POOLSURE</v>
      </c>
      <c r="J1450" s="2">
        <v>1403.37</v>
      </c>
    </row>
    <row r="1451" spans="1:10" ht="15">
      <c r="A1451" t="s">
        <v>44</v>
      </c>
      <c r="B1451" t="s">
        <v>11</v>
      </c>
      <c r="C1451">
        <v>53451</v>
      </c>
      <c r="D1451" s="2">
        <v>553.98</v>
      </c>
      <c r="E1451" s="1">
        <v>42747</v>
      </c>
      <c r="F1451" t="s">
        <v>18</v>
      </c>
      <c r="G1451" t="s">
        <v>13</v>
      </c>
      <c r="H1451" t="str">
        <f>"129548"</f>
        <v>129548</v>
      </c>
      <c r="I1451" t="str">
        <f>"USA BLUEBOOK"</f>
        <v>USA BLUEBOOK</v>
      </c>
      <c r="J1451" s="2">
        <v>553.98</v>
      </c>
    </row>
    <row r="1452" spans="1:10" ht="15">
      <c r="A1452" t="s">
        <v>45</v>
      </c>
      <c r="B1452" t="s">
        <v>11</v>
      </c>
      <c r="C1452">
        <v>53452</v>
      </c>
      <c r="D1452" s="2">
        <v>790.87</v>
      </c>
      <c r="E1452" s="1">
        <v>42747</v>
      </c>
      <c r="F1452" t="s">
        <v>18</v>
      </c>
      <c r="G1452" t="s">
        <v>13</v>
      </c>
      <c r="H1452" t="str">
        <f>"0127626-IN"</f>
        <v>0127626-IN</v>
      </c>
      <c r="I1452" t="str">
        <f>"NARDIS PUBLIC SAFETY"</f>
        <v>NARDIS PUBLIC SAFETY</v>
      </c>
      <c r="J1452" s="2">
        <v>446.94</v>
      </c>
    </row>
    <row r="1453" spans="7:10" ht="15">
      <c r="G1453" t="s">
        <v>13</v>
      </c>
      <c r="H1453" t="str">
        <f>"0129715-IN"</f>
        <v>0129715-IN</v>
      </c>
      <c r="I1453" t="str">
        <f>"NARDIS PUBLIC SAFETY"</f>
        <v>NARDIS PUBLIC SAFETY</v>
      </c>
      <c r="J1453" s="2">
        <v>86.96</v>
      </c>
    </row>
    <row r="1454" spans="7:10" ht="15">
      <c r="G1454" t="s">
        <v>13</v>
      </c>
      <c r="H1454" t="str">
        <f>"0129816-IN"</f>
        <v>0129816-IN</v>
      </c>
      <c r="I1454" t="str">
        <f>"NARDIS PUBLIC SAFETY"</f>
        <v>NARDIS PUBLIC SAFETY</v>
      </c>
      <c r="J1454" s="2">
        <v>256.97</v>
      </c>
    </row>
    <row r="1455" spans="1:10" ht="15">
      <c r="A1455" t="s">
        <v>143</v>
      </c>
      <c r="B1455" t="s">
        <v>11</v>
      </c>
      <c r="C1455">
        <v>53453</v>
      </c>
      <c r="D1455" s="2">
        <v>70.18</v>
      </c>
      <c r="E1455" s="1">
        <v>42747</v>
      </c>
      <c r="F1455" t="s">
        <v>18</v>
      </c>
      <c r="G1455" t="s">
        <v>13</v>
      </c>
      <c r="H1455" t="str">
        <f>"201701097876"</f>
        <v>201701097876</v>
      </c>
      <c r="I1455" t="str">
        <f>"AT&amp;T"</f>
        <v>AT&amp;T</v>
      </c>
      <c r="J1455" s="2">
        <v>40.65</v>
      </c>
    </row>
    <row r="1456" spans="7:10" ht="15">
      <c r="G1456" t="s">
        <v>13</v>
      </c>
      <c r="H1456" t="str">
        <f>"201701097877"</f>
        <v>201701097877</v>
      </c>
      <c r="I1456" t="str">
        <f>"AT&amp;T"</f>
        <v>AT&amp;T</v>
      </c>
      <c r="J1456" s="2">
        <v>29.53</v>
      </c>
    </row>
    <row r="1457" spans="1:10" ht="15">
      <c r="A1457" t="s">
        <v>161</v>
      </c>
      <c r="B1457" t="s">
        <v>11</v>
      </c>
      <c r="C1457">
        <v>53454</v>
      </c>
      <c r="D1457" s="2">
        <v>1515.94</v>
      </c>
      <c r="E1457" s="1">
        <v>42747</v>
      </c>
      <c r="F1457" t="s">
        <v>18</v>
      </c>
      <c r="G1457" t="s">
        <v>13</v>
      </c>
      <c r="H1457" t="str">
        <f>"025-176297"</f>
        <v>025-176297</v>
      </c>
      <c r="I1457" t="str">
        <f>"TYLER TECHNOLOGIES  INC."</f>
        <v>TYLER TECHNOLOGIES  INC.</v>
      </c>
      <c r="J1457" s="2">
        <v>1515.94</v>
      </c>
    </row>
    <row r="1458" spans="1:10" ht="15">
      <c r="A1458" t="s">
        <v>303</v>
      </c>
      <c r="B1458" t="s">
        <v>11</v>
      </c>
      <c r="C1458">
        <v>53455</v>
      </c>
      <c r="D1458" s="2">
        <v>340.64</v>
      </c>
      <c r="E1458" s="1">
        <v>42747</v>
      </c>
      <c r="F1458" t="s">
        <v>18</v>
      </c>
      <c r="G1458" t="s">
        <v>13</v>
      </c>
      <c r="H1458" t="str">
        <f>"24457"</f>
        <v>24457</v>
      </c>
      <c r="I1458" t="str">
        <f>"DATA FLOW"</f>
        <v>DATA FLOW</v>
      </c>
      <c r="J1458" s="2">
        <v>340.64</v>
      </c>
    </row>
    <row r="1459" spans="1:10" ht="15">
      <c r="A1459" t="s">
        <v>233</v>
      </c>
      <c r="B1459" t="s">
        <v>11</v>
      </c>
      <c r="C1459">
        <v>53456</v>
      </c>
      <c r="D1459" s="2">
        <v>2182.11</v>
      </c>
      <c r="E1459" s="1">
        <v>42747</v>
      </c>
      <c r="F1459" t="s">
        <v>18</v>
      </c>
      <c r="G1459" t="s">
        <v>13</v>
      </c>
      <c r="H1459" t="str">
        <f>"0206290-IN"</f>
        <v>0206290-IN</v>
      </c>
      <c r="I1459" t="str">
        <f>"FORT BEND SERVICES  INC."</f>
        <v>FORT BEND SERVICES  INC.</v>
      </c>
      <c r="J1459" s="2">
        <v>2182.11</v>
      </c>
    </row>
    <row r="1460" spans="1:10" ht="15">
      <c r="A1460" t="s">
        <v>304</v>
      </c>
      <c r="B1460" t="s">
        <v>11</v>
      </c>
      <c r="C1460">
        <v>53457</v>
      </c>
      <c r="D1460" s="2">
        <v>32.49</v>
      </c>
      <c r="E1460" s="1">
        <v>42747</v>
      </c>
      <c r="F1460" t="s">
        <v>18</v>
      </c>
      <c r="G1460" t="s">
        <v>13</v>
      </c>
      <c r="H1460" t="str">
        <f>"88211"</f>
        <v>88211</v>
      </c>
      <c r="I1460" t="str">
        <f>"THE POLICE AND SHERIFFS PRESS"</f>
        <v>THE POLICE AND SHERIFFS PRESS</v>
      </c>
      <c r="J1460" s="2">
        <v>32.49</v>
      </c>
    </row>
    <row r="1461" spans="1:10" ht="15">
      <c r="A1461" t="s">
        <v>163</v>
      </c>
      <c r="B1461" t="s">
        <v>11</v>
      </c>
      <c r="C1461">
        <v>53458</v>
      </c>
      <c r="D1461" s="2">
        <v>1084.37</v>
      </c>
      <c r="E1461" s="1">
        <v>42747</v>
      </c>
      <c r="F1461" t="s">
        <v>18</v>
      </c>
      <c r="G1461" t="s">
        <v>13</v>
      </c>
      <c r="H1461" t="str">
        <f>"8402990148"</f>
        <v>8402990148</v>
      </c>
      <c r="I1461" t="str">
        <f>"CINTAS CORPORATION"</f>
        <v>CINTAS CORPORATION</v>
      </c>
      <c r="J1461" s="2">
        <v>310.95</v>
      </c>
    </row>
    <row r="1462" spans="7:10" ht="15">
      <c r="G1462" t="s">
        <v>13</v>
      </c>
      <c r="H1462" t="str">
        <f>"8402997216"</f>
        <v>8402997216</v>
      </c>
      <c r="I1462" t="str">
        <f>"CINTAS CORPORATION"</f>
        <v>CINTAS CORPORATION</v>
      </c>
      <c r="J1462" s="2">
        <v>600.67</v>
      </c>
    </row>
    <row r="1463" spans="7:10" ht="15">
      <c r="G1463" t="s">
        <v>13</v>
      </c>
      <c r="H1463" t="str">
        <f>"8403004495"</f>
        <v>8403004495</v>
      </c>
      <c r="I1463" t="str">
        <f>"CINTAS CORPORATION"</f>
        <v>CINTAS CORPORATION</v>
      </c>
      <c r="J1463" s="2">
        <v>172.75</v>
      </c>
    </row>
    <row r="1464" spans="1:10" ht="15">
      <c r="A1464" t="s">
        <v>305</v>
      </c>
      <c r="B1464" t="s">
        <v>11</v>
      </c>
      <c r="C1464">
        <v>53459</v>
      </c>
      <c r="D1464" s="2">
        <v>535.16</v>
      </c>
      <c r="E1464" s="1">
        <v>42747</v>
      </c>
      <c r="F1464" t="s">
        <v>18</v>
      </c>
      <c r="G1464" t="s">
        <v>13</v>
      </c>
      <c r="H1464" t="str">
        <f>"201701097879"</f>
        <v>201701097879</v>
      </c>
      <c r="I1464" t="str">
        <f>"SAM'S CLUB/SYNCHRONY BANK"</f>
        <v>SAM'S CLUB/SYNCHRONY BANK</v>
      </c>
      <c r="J1464" s="2">
        <v>535.16</v>
      </c>
    </row>
    <row r="1465" spans="1:10" ht="15">
      <c r="A1465" t="s">
        <v>236</v>
      </c>
      <c r="B1465" t="s">
        <v>11</v>
      </c>
      <c r="C1465">
        <v>53460</v>
      </c>
      <c r="D1465" s="2">
        <v>243.63</v>
      </c>
      <c r="E1465" s="1">
        <v>42747</v>
      </c>
      <c r="F1465" t="s">
        <v>18</v>
      </c>
      <c r="G1465" t="s">
        <v>13</v>
      </c>
      <c r="H1465" t="str">
        <f>"201701127883"</f>
        <v>201701127883</v>
      </c>
      <c r="I1465" t="str">
        <f>"ANYTIME FITNESS"</f>
        <v>ANYTIME FITNESS</v>
      </c>
      <c r="J1465" s="2">
        <v>243.63</v>
      </c>
    </row>
    <row r="1466" spans="1:10" ht="15">
      <c r="A1466" t="s">
        <v>54</v>
      </c>
      <c r="B1466" t="s">
        <v>11</v>
      </c>
      <c r="C1466">
        <v>53461</v>
      </c>
      <c r="D1466" s="2">
        <v>2000</v>
      </c>
      <c r="E1466" s="1">
        <v>42747</v>
      </c>
      <c r="F1466" t="s">
        <v>18</v>
      </c>
      <c r="G1466" t="s">
        <v>13</v>
      </c>
      <c r="H1466" t="str">
        <f>"1496"</f>
        <v>1496</v>
      </c>
      <c r="I1466" t="str">
        <f>"THE LAW OFFICES OF LOUIS T. RO"</f>
        <v>THE LAW OFFICES OF LOUIS T. RO</v>
      </c>
      <c r="J1466" s="2">
        <v>2000</v>
      </c>
    </row>
    <row r="1467" spans="1:10" ht="15">
      <c r="A1467" t="s">
        <v>24</v>
      </c>
      <c r="B1467" t="s">
        <v>11</v>
      </c>
      <c r="C1467">
        <v>53462</v>
      </c>
      <c r="D1467" s="2">
        <v>2351.9</v>
      </c>
      <c r="E1467" s="1">
        <v>42747</v>
      </c>
      <c r="F1467" t="s">
        <v>15</v>
      </c>
      <c r="G1467" t="s">
        <v>267</v>
      </c>
      <c r="H1467" t="str">
        <f>"12/1/2016"</f>
        <v>12/1/2016</v>
      </c>
      <c r="I1467" t="str">
        <f>"DENTAL SELECT"</f>
        <v>DENTAL SELECT</v>
      </c>
      <c r="J1467" s="2">
        <v>-3545.66</v>
      </c>
    </row>
    <row r="1468" spans="7:10" ht="15">
      <c r="G1468" t="s">
        <v>13</v>
      </c>
      <c r="H1468" t="str">
        <f>"DEN201611087771"</f>
        <v>DEN201611087771</v>
      </c>
      <c r="I1468" t="str">
        <f aca="true" t="shared" si="40" ref="I1468:I1477">"DENTAL INSURANCE"</f>
        <v>DENTAL INSURANCE</v>
      </c>
      <c r="J1468" s="2">
        <v>935.04</v>
      </c>
    </row>
    <row r="1469" spans="7:10" ht="15">
      <c r="G1469" t="s">
        <v>13</v>
      </c>
      <c r="H1469" t="str">
        <f>"DEN201611217793"</f>
        <v>DEN201611217793</v>
      </c>
      <c r="I1469" t="str">
        <f t="shared" si="40"/>
        <v>DENTAL INSURANCE</v>
      </c>
      <c r="J1469" s="2">
        <v>922.31</v>
      </c>
    </row>
    <row r="1470" spans="7:10" ht="15">
      <c r="G1470" t="s">
        <v>13</v>
      </c>
      <c r="H1470" t="str">
        <f>"DEN201612057829"</f>
        <v>DEN201612057829</v>
      </c>
      <c r="I1470" t="str">
        <f t="shared" si="40"/>
        <v>DENTAL INSURANCE</v>
      </c>
      <c r="J1470" s="2">
        <v>922.31</v>
      </c>
    </row>
    <row r="1471" spans="7:10" ht="15">
      <c r="G1471" t="s">
        <v>13</v>
      </c>
      <c r="H1471" t="str">
        <f>"DEN201612207861"</f>
        <v>DEN201612207861</v>
      </c>
      <c r="I1471" t="str">
        <f t="shared" si="40"/>
        <v>DENTAL INSURANCE</v>
      </c>
      <c r="J1471" s="2">
        <v>922.31</v>
      </c>
    </row>
    <row r="1472" spans="7:10" ht="15">
      <c r="G1472" t="s">
        <v>13</v>
      </c>
      <c r="H1472" t="str">
        <f>"DEN201701047865"</f>
        <v>DEN201701047865</v>
      </c>
      <c r="I1472" t="str">
        <f t="shared" si="40"/>
        <v>DENTAL INSURANCE</v>
      </c>
      <c r="J1472" s="2">
        <v>922.31</v>
      </c>
    </row>
    <row r="1473" spans="7:10" ht="15">
      <c r="G1473" t="s">
        <v>13</v>
      </c>
      <c r="H1473" t="str">
        <f>"VIS201611087771"</f>
        <v>VIS201611087771</v>
      </c>
      <c r="I1473" t="str">
        <f t="shared" si="40"/>
        <v>DENTAL INSURANCE</v>
      </c>
      <c r="J1473" s="2">
        <v>258.72</v>
      </c>
    </row>
    <row r="1474" spans="7:10" ht="15">
      <c r="G1474" t="s">
        <v>13</v>
      </c>
      <c r="H1474" t="str">
        <f>"VIS201611217793"</f>
        <v>VIS201611217793</v>
      </c>
      <c r="I1474" t="str">
        <f t="shared" si="40"/>
        <v>DENTAL INSURANCE</v>
      </c>
      <c r="J1474" s="2">
        <v>253.64</v>
      </c>
    </row>
    <row r="1475" spans="7:10" ht="15">
      <c r="G1475" t="s">
        <v>13</v>
      </c>
      <c r="H1475" t="str">
        <f>"VIS201612057829"</f>
        <v>VIS201612057829</v>
      </c>
      <c r="I1475" t="str">
        <f t="shared" si="40"/>
        <v>DENTAL INSURANCE</v>
      </c>
      <c r="J1475" s="2">
        <v>253.64</v>
      </c>
    </row>
    <row r="1476" spans="7:10" ht="15">
      <c r="G1476" t="s">
        <v>13</v>
      </c>
      <c r="H1476" t="str">
        <f>"VIS201612207861"</f>
        <v>VIS201612207861</v>
      </c>
      <c r="I1476" t="str">
        <f t="shared" si="40"/>
        <v>DENTAL INSURANCE</v>
      </c>
      <c r="J1476" s="2">
        <v>253.64</v>
      </c>
    </row>
    <row r="1477" spans="7:10" ht="15">
      <c r="G1477" t="s">
        <v>13</v>
      </c>
      <c r="H1477" t="str">
        <f>"VIS201701047865"</f>
        <v>VIS201701047865</v>
      </c>
      <c r="I1477" t="str">
        <f t="shared" si="40"/>
        <v>DENTAL INSURANCE</v>
      </c>
      <c r="J1477" s="2">
        <v>253.64</v>
      </c>
    </row>
    <row r="1478" spans="1:10" ht="15">
      <c r="A1478" t="s">
        <v>24</v>
      </c>
      <c r="B1478" t="s">
        <v>11</v>
      </c>
      <c r="C1478">
        <v>53462</v>
      </c>
      <c r="D1478" s="2">
        <v>2351.9</v>
      </c>
      <c r="E1478" s="1">
        <v>42747</v>
      </c>
      <c r="F1478" t="s">
        <v>15</v>
      </c>
      <c r="G1478" t="s">
        <v>16</v>
      </c>
      <c r="H1478" t="str">
        <f>"CHECK"</f>
        <v>CHECK</v>
      </c>
      <c r="I1478">
        <f>""</f>
      </c>
      <c r="J1478" s="2">
        <v>2351.9</v>
      </c>
    </row>
    <row r="1479" spans="1:10" ht="15">
      <c r="A1479" t="s">
        <v>56</v>
      </c>
      <c r="B1479" t="s">
        <v>11</v>
      </c>
      <c r="C1479">
        <v>53464</v>
      </c>
      <c r="D1479" s="2">
        <v>1500</v>
      </c>
      <c r="E1479" s="1">
        <v>42747</v>
      </c>
      <c r="F1479" t="s">
        <v>18</v>
      </c>
      <c r="G1479" t="s">
        <v>13</v>
      </c>
      <c r="H1479" t="str">
        <f>"0358475-IN"</f>
        <v>0358475-IN</v>
      </c>
      <c r="I1479" t="str">
        <f>"SOUTHWASTE DISPOSAL  LLP"</f>
        <v>SOUTHWASTE DISPOSAL  LLP</v>
      </c>
      <c r="J1479" s="2">
        <v>400</v>
      </c>
    </row>
    <row r="1480" spans="7:10" ht="15">
      <c r="G1480" t="s">
        <v>13</v>
      </c>
      <c r="H1480" t="str">
        <f>"0359075-IN"</f>
        <v>0359075-IN</v>
      </c>
      <c r="I1480" t="str">
        <f>"SOUTHWASTE DISPOSAL  LLP"</f>
        <v>SOUTHWASTE DISPOSAL  LLP</v>
      </c>
      <c r="J1480" s="2">
        <v>200</v>
      </c>
    </row>
    <row r="1481" spans="7:10" ht="15">
      <c r="G1481" t="s">
        <v>13</v>
      </c>
      <c r="H1481" t="str">
        <f>"0359331-IN"</f>
        <v>0359331-IN</v>
      </c>
      <c r="I1481" t="str">
        <f>"SOUTHWASTE DISPOSAL  LLP"</f>
        <v>SOUTHWASTE DISPOSAL  LLP</v>
      </c>
      <c r="J1481" s="2">
        <v>100</v>
      </c>
    </row>
    <row r="1482" spans="7:10" ht="15">
      <c r="G1482" t="s">
        <v>13</v>
      </c>
      <c r="H1482" t="str">
        <f>"0360191-IN"</f>
        <v>0360191-IN</v>
      </c>
      <c r="I1482" t="str">
        <f>"SOUTHWASTE DISPOSAL  LLP"</f>
        <v>SOUTHWASTE DISPOSAL  LLP</v>
      </c>
      <c r="J1482" s="2">
        <v>800</v>
      </c>
    </row>
    <row r="1483" spans="1:10" ht="15">
      <c r="A1483" t="s">
        <v>57</v>
      </c>
      <c r="B1483" t="s">
        <v>11</v>
      </c>
      <c r="C1483">
        <v>53465</v>
      </c>
      <c r="D1483" s="2">
        <v>1871.52</v>
      </c>
      <c r="E1483" s="1">
        <v>42747</v>
      </c>
      <c r="F1483" t="s">
        <v>18</v>
      </c>
      <c r="G1483" t="s">
        <v>13</v>
      </c>
      <c r="H1483" t="str">
        <f>"L10424"</f>
        <v>L10424</v>
      </c>
      <c r="I1483" t="str">
        <f>"ASCO"</f>
        <v>ASCO</v>
      </c>
      <c r="J1483" s="2">
        <v>1871.52</v>
      </c>
    </row>
    <row r="1484" spans="1:10" ht="15">
      <c r="A1484" t="s">
        <v>239</v>
      </c>
      <c r="B1484" t="s">
        <v>11</v>
      </c>
      <c r="C1484">
        <v>53466</v>
      </c>
      <c r="D1484" s="2">
        <v>202.73</v>
      </c>
      <c r="E1484" s="1">
        <v>42747</v>
      </c>
      <c r="F1484" t="s">
        <v>18</v>
      </c>
      <c r="G1484" t="s">
        <v>13</v>
      </c>
      <c r="H1484" t="str">
        <f>"0007780-IN"</f>
        <v>0007780-IN</v>
      </c>
      <c r="I1484" t="str">
        <f>"DIXIE FLAG MANUFACTURING COMPA"</f>
        <v>DIXIE FLAG MANUFACTURING COMPA</v>
      </c>
      <c r="J1484" s="2">
        <v>202.73</v>
      </c>
    </row>
    <row r="1485" spans="1:10" ht="15">
      <c r="A1485" t="s">
        <v>59</v>
      </c>
      <c r="B1485" t="s">
        <v>11</v>
      </c>
      <c r="C1485">
        <v>53467</v>
      </c>
      <c r="D1485" s="2">
        <v>208.2</v>
      </c>
      <c r="E1485" s="1">
        <v>42747</v>
      </c>
      <c r="F1485" t="s">
        <v>15</v>
      </c>
      <c r="G1485" t="s">
        <v>13</v>
      </c>
      <c r="H1485" t="str">
        <f>"3377086"</f>
        <v>3377086</v>
      </c>
      <c r="I1485" t="str">
        <f>"EWALD TRACTOR SUPPLY"</f>
        <v>EWALD TRACTOR SUPPLY</v>
      </c>
      <c r="J1485" s="2">
        <v>198.08</v>
      </c>
    </row>
    <row r="1486" spans="7:10" ht="15">
      <c r="G1486" t="s">
        <v>13</v>
      </c>
      <c r="H1486" t="str">
        <f>"4319690"</f>
        <v>4319690</v>
      </c>
      <c r="I1486" t="str">
        <f>"EWALD TRACTOR SUPPLY"</f>
        <v>EWALD TRACTOR SUPPLY</v>
      </c>
      <c r="J1486" s="2">
        <v>10.12</v>
      </c>
    </row>
    <row r="1487" spans="1:10" ht="15">
      <c r="A1487" t="s">
        <v>59</v>
      </c>
      <c r="B1487" t="s">
        <v>11</v>
      </c>
      <c r="C1487">
        <v>53467</v>
      </c>
      <c r="D1487" s="2">
        <v>208.2</v>
      </c>
      <c r="E1487" s="1">
        <v>42747</v>
      </c>
      <c r="F1487" t="s">
        <v>15</v>
      </c>
      <c r="G1487" t="s">
        <v>16</v>
      </c>
      <c r="H1487" t="str">
        <f>"CHECK"</f>
        <v>CHECK</v>
      </c>
      <c r="I1487">
        <f>""</f>
      </c>
      <c r="J1487" s="2">
        <v>208.2</v>
      </c>
    </row>
    <row r="1488" spans="1:10" ht="15">
      <c r="A1488" t="s">
        <v>60</v>
      </c>
      <c r="B1488" t="s">
        <v>11</v>
      </c>
      <c r="C1488">
        <v>53468</v>
      </c>
      <c r="D1488" s="2">
        <v>180</v>
      </c>
      <c r="E1488" s="1">
        <v>42747</v>
      </c>
      <c r="F1488" t="s">
        <v>18</v>
      </c>
      <c r="G1488" t="s">
        <v>13</v>
      </c>
      <c r="H1488" t="str">
        <f>"1002672989"</f>
        <v>1002672989</v>
      </c>
      <c r="I1488" t="str">
        <f>"PITNEY BOWES"</f>
        <v>PITNEY BOWES</v>
      </c>
      <c r="J1488" s="2">
        <v>180</v>
      </c>
    </row>
    <row r="1489" spans="1:10" ht="15">
      <c r="A1489" t="s">
        <v>240</v>
      </c>
      <c r="B1489" t="s">
        <v>11</v>
      </c>
      <c r="C1489">
        <v>53469</v>
      </c>
      <c r="D1489" s="2">
        <v>23103.18</v>
      </c>
      <c r="E1489" s="1">
        <v>42747</v>
      </c>
      <c r="F1489" t="s">
        <v>18</v>
      </c>
      <c r="G1489" t="s">
        <v>13</v>
      </c>
      <c r="H1489" t="str">
        <f>"37354"</f>
        <v>37354</v>
      </c>
      <c r="I1489" t="str">
        <f>"PHOTOGRAPHS BY JIM"</f>
        <v>PHOTOGRAPHS BY JIM</v>
      </c>
      <c r="J1489" s="2">
        <v>23103.18</v>
      </c>
    </row>
    <row r="1490" spans="1:10" ht="15">
      <c r="A1490" t="s">
        <v>169</v>
      </c>
      <c r="B1490" t="s">
        <v>11</v>
      </c>
      <c r="C1490">
        <v>53470</v>
      </c>
      <c r="D1490" s="2">
        <v>2709.38</v>
      </c>
      <c r="E1490" s="1">
        <v>42747</v>
      </c>
      <c r="F1490" t="s">
        <v>18</v>
      </c>
      <c r="G1490" t="s">
        <v>13</v>
      </c>
      <c r="H1490" t="str">
        <f>"SI1462347"</f>
        <v>SI1462347</v>
      </c>
      <c r="I1490" t="str">
        <f>"TASER INTERNATIONAL"</f>
        <v>TASER INTERNATIONAL</v>
      </c>
      <c r="J1490" s="2">
        <v>1354.69</v>
      </c>
    </row>
    <row r="1491" spans="7:10" ht="15">
      <c r="G1491" t="s">
        <v>13</v>
      </c>
      <c r="H1491" t="str">
        <f>"SI1463802"</f>
        <v>SI1463802</v>
      </c>
      <c r="I1491" t="str">
        <f>"TASER INTERNATIONAL"</f>
        <v>TASER INTERNATIONAL</v>
      </c>
      <c r="J1491" s="2">
        <v>1354.69</v>
      </c>
    </row>
    <row r="1492" spans="1:10" ht="15">
      <c r="A1492" t="s">
        <v>116</v>
      </c>
      <c r="B1492" t="s">
        <v>11</v>
      </c>
      <c r="C1492">
        <v>53471</v>
      </c>
      <c r="D1492" s="2">
        <v>72.95</v>
      </c>
      <c r="E1492" s="1">
        <v>42747</v>
      </c>
      <c r="F1492" t="s">
        <v>18</v>
      </c>
      <c r="G1492" t="s">
        <v>13</v>
      </c>
      <c r="H1492" t="str">
        <f>"A910898"</f>
        <v>A910898</v>
      </c>
      <c r="I1492" t="str">
        <f>"TEXAS WIRED MUSIC  INC."</f>
        <v>TEXAS WIRED MUSIC  INC.</v>
      </c>
      <c r="J1492" s="2">
        <v>72.95</v>
      </c>
    </row>
    <row r="1493" spans="1:10" ht="15">
      <c r="A1493" t="s">
        <v>241</v>
      </c>
      <c r="B1493" t="s">
        <v>11</v>
      </c>
      <c r="C1493">
        <v>53472</v>
      </c>
      <c r="D1493" s="2">
        <v>1361.47</v>
      </c>
      <c r="E1493" s="1">
        <v>42747</v>
      </c>
      <c r="F1493" t="s">
        <v>18</v>
      </c>
      <c r="G1493" t="s">
        <v>13</v>
      </c>
      <c r="H1493" t="str">
        <f>"733276"</f>
        <v>733276</v>
      </c>
      <c r="I1493" t="str">
        <f aca="true" t="shared" si="41" ref="I1493:I1498">"LARRY SRALLA ELECTRIC"</f>
        <v>LARRY SRALLA ELECTRIC</v>
      </c>
      <c r="J1493" s="2">
        <v>187.5</v>
      </c>
    </row>
    <row r="1494" spans="7:10" ht="15">
      <c r="G1494" t="s">
        <v>13</v>
      </c>
      <c r="H1494" t="str">
        <f>"733278"</f>
        <v>733278</v>
      </c>
      <c r="I1494" t="str">
        <f t="shared" si="41"/>
        <v>LARRY SRALLA ELECTRIC</v>
      </c>
      <c r="J1494" s="2">
        <v>250</v>
      </c>
    </row>
    <row r="1495" spans="7:10" ht="15">
      <c r="G1495" t="s">
        <v>13</v>
      </c>
      <c r="H1495" t="str">
        <f>"733279"</f>
        <v>733279</v>
      </c>
      <c r="I1495" t="str">
        <f t="shared" si="41"/>
        <v>LARRY SRALLA ELECTRIC</v>
      </c>
      <c r="J1495" s="2">
        <v>75</v>
      </c>
    </row>
    <row r="1496" spans="7:10" ht="15">
      <c r="G1496" t="s">
        <v>13</v>
      </c>
      <c r="H1496" t="str">
        <f>"733280"</f>
        <v>733280</v>
      </c>
      <c r="I1496" t="str">
        <f t="shared" si="41"/>
        <v>LARRY SRALLA ELECTRIC</v>
      </c>
      <c r="J1496" s="2">
        <v>661.47</v>
      </c>
    </row>
    <row r="1497" spans="7:10" ht="15">
      <c r="G1497" t="s">
        <v>13</v>
      </c>
      <c r="H1497" t="str">
        <f>"733281"</f>
        <v>733281</v>
      </c>
      <c r="I1497" t="str">
        <f t="shared" si="41"/>
        <v>LARRY SRALLA ELECTRIC</v>
      </c>
      <c r="J1497" s="2">
        <v>75</v>
      </c>
    </row>
    <row r="1498" spans="7:10" ht="15">
      <c r="G1498" t="s">
        <v>13</v>
      </c>
      <c r="H1498" t="str">
        <f>"733282"</f>
        <v>733282</v>
      </c>
      <c r="I1498" t="str">
        <f t="shared" si="41"/>
        <v>LARRY SRALLA ELECTRIC</v>
      </c>
      <c r="J1498" s="2">
        <v>112.5</v>
      </c>
    </row>
    <row r="1499" spans="1:10" ht="15">
      <c r="A1499" t="s">
        <v>306</v>
      </c>
      <c r="B1499" t="s">
        <v>11</v>
      </c>
      <c r="C1499">
        <v>53473</v>
      </c>
      <c r="D1499" s="2">
        <v>3225</v>
      </c>
      <c r="E1499" s="1">
        <v>42747</v>
      </c>
      <c r="F1499" t="s">
        <v>18</v>
      </c>
      <c r="G1499" t="s">
        <v>13</v>
      </c>
      <c r="H1499" t="str">
        <f>"299932"</f>
        <v>299932</v>
      </c>
      <c r="I1499" t="str">
        <f>"APPLIED CONCEPTS  INC."</f>
        <v>APPLIED CONCEPTS  INC.</v>
      </c>
      <c r="J1499" s="2">
        <v>3225</v>
      </c>
    </row>
    <row r="1500" spans="1:10" ht="15">
      <c r="A1500" t="s">
        <v>205</v>
      </c>
      <c r="B1500" t="s">
        <v>11</v>
      </c>
      <c r="C1500">
        <v>53474</v>
      </c>
      <c r="D1500" s="2">
        <v>4491.14</v>
      </c>
      <c r="E1500" s="1">
        <v>42747</v>
      </c>
      <c r="F1500" t="s">
        <v>18</v>
      </c>
      <c r="G1500" t="s">
        <v>13</v>
      </c>
      <c r="H1500" t="str">
        <f>"47314436"</f>
        <v>47314436</v>
      </c>
      <c r="I1500" t="str">
        <f>"ACCOUNTEMPS"</f>
        <v>ACCOUNTEMPS</v>
      </c>
      <c r="J1500" s="2">
        <v>1547.69</v>
      </c>
    </row>
    <row r="1501" spans="7:10" ht="15">
      <c r="G1501" t="s">
        <v>13</v>
      </c>
      <c r="H1501" t="str">
        <f>"47365293"</f>
        <v>47365293</v>
      </c>
      <c r="I1501" t="str">
        <f>"ACCOUNTEMPS"</f>
        <v>ACCOUNTEMPS</v>
      </c>
      <c r="J1501" s="2">
        <v>1690.11</v>
      </c>
    </row>
    <row r="1502" spans="7:10" ht="15">
      <c r="G1502" t="s">
        <v>13</v>
      </c>
      <c r="H1502" t="str">
        <f>"47394092"</f>
        <v>47394092</v>
      </c>
      <c r="I1502" t="str">
        <f>"ACCOUNTEMPS"</f>
        <v>ACCOUNTEMPS</v>
      </c>
      <c r="J1502" s="2">
        <v>1253.34</v>
      </c>
    </row>
    <row r="1503" spans="1:10" ht="15">
      <c r="A1503" t="s">
        <v>97</v>
      </c>
      <c r="B1503" t="s">
        <v>11</v>
      </c>
      <c r="C1503">
        <v>53475</v>
      </c>
      <c r="D1503" s="2">
        <v>21072.5</v>
      </c>
      <c r="E1503" s="1">
        <v>42747</v>
      </c>
      <c r="F1503" t="s">
        <v>18</v>
      </c>
      <c r="G1503" t="s">
        <v>13</v>
      </c>
      <c r="H1503" t="str">
        <f>"25287"</f>
        <v>25287</v>
      </c>
      <c r="I1503" t="str">
        <f aca="true" t="shared" si="42" ref="I1503:I1512">"M &amp; S ENGINEERING  LLC"</f>
        <v>M &amp; S ENGINEERING  LLC</v>
      </c>
      <c r="J1503" s="2">
        <v>400</v>
      </c>
    </row>
    <row r="1504" spans="7:10" ht="15">
      <c r="G1504" t="s">
        <v>13</v>
      </c>
      <c r="H1504" t="str">
        <f>"25349"</f>
        <v>25349</v>
      </c>
      <c r="I1504" t="str">
        <f t="shared" si="42"/>
        <v>M &amp; S ENGINEERING  LLC</v>
      </c>
      <c r="J1504" s="2">
        <v>2797.5</v>
      </c>
    </row>
    <row r="1505" spans="7:10" ht="15">
      <c r="G1505" t="s">
        <v>13</v>
      </c>
      <c r="H1505" t="str">
        <f>"25350"</f>
        <v>25350</v>
      </c>
      <c r="I1505" t="str">
        <f t="shared" si="42"/>
        <v>M &amp; S ENGINEERING  LLC</v>
      </c>
      <c r="J1505" s="2">
        <v>753.75</v>
      </c>
    </row>
    <row r="1506" spans="7:10" ht="15">
      <c r="G1506" t="s">
        <v>13</v>
      </c>
      <c r="H1506" t="str">
        <f>"25352"</f>
        <v>25352</v>
      </c>
      <c r="I1506" t="str">
        <f t="shared" si="42"/>
        <v>M &amp; S ENGINEERING  LLC</v>
      </c>
      <c r="J1506" s="2">
        <v>8302.5</v>
      </c>
    </row>
    <row r="1507" spans="7:10" ht="15">
      <c r="G1507" t="s">
        <v>13</v>
      </c>
      <c r="H1507" t="str">
        <f>"25356"</f>
        <v>25356</v>
      </c>
      <c r="I1507" t="str">
        <f t="shared" si="42"/>
        <v>M &amp; S ENGINEERING  LLC</v>
      </c>
      <c r="J1507" s="2">
        <v>810</v>
      </c>
    </row>
    <row r="1508" spans="7:10" ht="15">
      <c r="G1508" t="s">
        <v>13</v>
      </c>
      <c r="H1508" t="str">
        <f>"25384"</f>
        <v>25384</v>
      </c>
      <c r="I1508" t="str">
        <f t="shared" si="42"/>
        <v>M &amp; S ENGINEERING  LLC</v>
      </c>
      <c r="J1508" s="2">
        <v>4505</v>
      </c>
    </row>
    <row r="1509" spans="7:10" ht="15">
      <c r="G1509" t="s">
        <v>13</v>
      </c>
      <c r="H1509" t="str">
        <f>"25861"</f>
        <v>25861</v>
      </c>
      <c r="I1509" t="str">
        <f t="shared" si="42"/>
        <v>M &amp; S ENGINEERING  LLC</v>
      </c>
      <c r="J1509" s="2">
        <v>1250</v>
      </c>
    </row>
    <row r="1510" spans="7:10" ht="15">
      <c r="G1510" t="s">
        <v>13</v>
      </c>
      <c r="H1510" t="str">
        <f>"25865"</f>
        <v>25865</v>
      </c>
      <c r="I1510" t="str">
        <f t="shared" si="42"/>
        <v>M &amp; S ENGINEERING  LLC</v>
      </c>
      <c r="J1510" s="2">
        <v>1312.5</v>
      </c>
    </row>
    <row r="1511" spans="7:10" ht="15">
      <c r="G1511" t="s">
        <v>13</v>
      </c>
      <c r="H1511" t="str">
        <f>"25866"</f>
        <v>25866</v>
      </c>
      <c r="I1511" t="str">
        <f t="shared" si="42"/>
        <v>M &amp; S ENGINEERING  LLC</v>
      </c>
      <c r="J1511" s="2">
        <v>450</v>
      </c>
    </row>
    <row r="1512" spans="7:10" ht="15">
      <c r="G1512" t="s">
        <v>13</v>
      </c>
      <c r="H1512" t="str">
        <f>"25923"</f>
        <v>25923</v>
      </c>
      <c r="I1512" t="str">
        <f t="shared" si="42"/>
        <v>M &amp; S ENGINEERING  LLC</v>
      </c>
      <c r="J1512" s="2">
        <v>491.25</v>
      </c>
    </row>
    <row r="1513" spans="1:10" ht="15">
      <c r="A1513" t="s">
        <v>63</v>
      </c>
      <c r="B1513" t="s">
        <v>11</v>
      </c>
      <c r="C1513">
        <v>53477</v>
      </c>
      <c r="D1513" s="2">
        <v>5045.41</v>
      </c>
      <c r="E1513" s="1">
        <v>42747</v>
      </c>
      <c r="F1513" t="s">
        <v>18</v>
      </c>
      <c r="G1513" t="s">
        <v>13</v>
      </c>
      <c r="H1513" t="str">
        <f>"087552439"</f>
        <v>087552439</v>
      </c>
      <c r="I1513" t="str">
        <f aca="true" t="shared" si="43" ref="I1513:I1532">"CINTAS CORPORATION #087"</f>
        <v>CINTAS CORPORATION #087</v>
      </c>
      <c r="J1513" s="2">
        <v>649.75</v>
      </c>
    </row>
    <row r="1514" spans="7:10" ht="15">
      <c r="G1514" t="s">
        <v>13</v>
      </c>
      <c r="H1514" t="str">
        <f>"087552440"</f>
        <v>087552440</v>
      </c>
      <c r="I1514" t="str">
        <f t="shared" si="43"/>
        <v>CINTAS CORPORATION #087</v>
      </c>
      <c r="J1514" s="2">
        <v>564</v>
      </c>
    </row>
    <row r="1515" spans="7:10" ht="15">
      <c r="G1515" t="s">
        <v>13</v>
      </c>
      <c r="H1515" t="str">
        <f>"087554510"</f>
        <v>087554510</v>
      </c>
      <c r="I1515" t="str">
        <f t="shared" si="43"/>
        <v>CINTAS CORPORATION #087</v>
      </c>
      <c r="J1515" s="2">
        <v>148.98</v>
      </c>
    </row>
    <row r="1516" spans="7:10" ht="15">
      <c r="G1516" t="s">
        <v>13</v>
      </c>
      <c r="H1516" t="str">
        <f>"087556487"</f>
        <v>087556487</v>
      </c>
      <c r="I1516" t="str">
        <f t="shared" si="43"/>
        <v>CINTAS CORPORATION #087</v>
      </c>
      <c r="J1516" s="2">
        <v>228.77</v>
      </c>
    </row>
    <row r="1517" spans="7:10" ht="15">
      <c r="G1517" t="s">
        <v>13</v>
      </c>
      <c r="H1517" t="str">
        <f>"087558577"</f>
        <v>087558577</v>
      </c>
      <c r="I1517" t="str">
        <f t="shared" si="43"/>
        <v>CINTAS CORPORATION #087</v>
      </c>
      <c r="J1517" s="2">
        <v>91.89</v>
      </c>
    </row>
    <row r="1518" spans="7:10" ht="15">
      <c r="G1518" t="s">
        <v>13</v>
      </c>
      <c r="H1518" t="str">
        <f>"087560559"</f>
        <v>087560559</v>
      </c>
      <c r="I1518" t="str">
        <f t="shared" si="43"/>
        <v>CINTAS CORPORATION #087</v>
      </c>
      <c r="J1518" s="2">
        <v>374.02</v>
      </c>
    </row>
    <row r="1519" spans="7:10" ht="15">
      <c r="G1519" t="s">
        <v>13</v>
      </c>
      <c r="H1519" t="str">
        <f>"087562647"</f>
        <v>087562647</v>
      </c>
      <c r="I1519" t="str">
        <f t="shared" si="43"/>
        <v>CINTAS CORPORATION #087</v>
      </c>
      <c r="J1519" s="2">
        <v>185.44</v>
      </c>
    </row>
    <row r="1520" spans="7:10" ht="15">
      <c r="G1520" t="s">
        <v>13</v>
      </c>
      <c r="H1520" t="str">
        <f>"087564635"</f>
        <v>087564635</v>
      </c>
      <c r="I1520" t="str">
        <f t="shared" si="43"/>
        <v>CINTAS CORPORATION #087</v>
      </c>
      <c r="J1520" s="2">
        <v>233.34</v>
      </c>
    </row>
    <row r="1521" spans="7:10" ht="15">
      <c r="G1521" t="s">
        <v>13</v>
      </c>
      <c r="H1521" t="str">
        <f>"087566717"</f>
        <v>087566717</v>
      </c>
      <c r="I1521" t="str">
        <f t="shared" si="43"/>
        <v>CINTAS CORPORATION #087</v>
      </c>
      <c r="J1521" s="2">
        <v>223.83</v>
      </c>
    </row>
    <row r="1522" spans="7:10" ht="15">
      <c r="G1522" t="s">
        <v>13</v>
      </c>
      <c r="H1522" t="str">
        <f>"087568693"</f>
        <v>087568693</v>
      </c>
      <c r="I1522" t="str">
        <f t="shared" si="43"/>
        <v>CINTAS CORPORATION #087</v>
      </c>
      <c r="J1522" s="2">
        <v>233.34</v>
      </c>
    </row>
    <row r="1523" spans="7:10" ht="15">
      <c r="G1523" t="s">
        <v>13</v>
      </c>
      <c r="H1523" t="str">
        <f>"087570794"</f>
        <v>087570794</v>
      </c>
      <c r="I1523" t="str">
        <f t="shared" si="43"/>
        <v>CINTAS CORPORATION #087</v>
      </c>
      <c r="J1523" s="2">
        <v>159.57</v>
      </c>
    </row>
    <row r="1524" spans="7:10" ht="15">
      <c r="G1524" t="s">
        <v>13</v>
      </c>
      <c r="H1524" t="str">
        <f>"087572741"</f>
        <v>087572741</v>
      </c>
      <c r="I1524" t="str">
        <f t="shared" si="43"/>
        <v>CINTAS CORPORATION #087</v>
      </c>
      <c r="J1524" s="2">
        <v>259.89</v>
      </c>
    </row>
    <row r="1525" spans="7:10" ht="15">
      <c r="G1525" t="s">
        <v>13</v>
      </c>
      <c r="H1525" t="str">
        <f>"087574821"</f>
        <v>087574821</v>
      </c>
      <c r="I1525" t="str">
        <f t="shared" si="43"/>
        <v>CINTAS CORPORATION #087</v>
      </c>
      <c r="J1525" s="2">
        <v>51.85</v>
      </c>
    </row>
    <row r="1526" spans="7:10" ht="15">
      <c r="G1526" t="s">
        <v>13</v>
      </c>
      <c r="H1526" t="str">
        <f>"087574822"</f>
        <v>087574822</v>
      </c>
      <c r="I1526" t="str">
        <f t="shared" si="43"/>
        <v>CINTAS CORPORATION #087</v>
      </c>
      <c r="J1526" s="2">
        <v>91.88</v>
      </c>
    </row>
    <row r="1527" spans="7:10" ht="15">
      <c r="G1527" t="s">
        <v>13</v>
      </c>
      <c r="H1527" t="str">
        <f>"087576820"</f>
        <v>087576820</v>
      </c>
      <c r="I1527" t="str">
        <f t="shared" si="43"/>
        <v>CINTAS CORPORATION #087</v>
      </c>
      <c r="J1527" s="2">
        <v>231.89</v>
      </c>
    </row>
    <row r="1528" spans="7:10" ht="15">
      <c r="G1528" t="s">
        <v>13</v>
      </c>
      <c r="H1528" t="str">
        <f>"087578897"</f>
        <v>087578897</v>
      </c>
      <c r="I1528" t="str">
        <f t="shared" si="43"/>
        <v>CINTAS CORPORATION #087</v>
      </c>
      <c r="J1528" s="2">
        <v>352.98</v>
      </c>
    </row>
    <row r="1529" spans="7:10" ht="15">
      <c r="G1529" t="s">
        <v>13</v>
      </c>
      <c r="H1529" t="str">
        <f>"087580919"</f>
        <v>087580919</v>
      </c>
      <c r="I1529" t="str">
        <f t="shared" si="43"/>
        <v>CINTAS CORPORATION #087</v>
      </c>
      <c r="J1529" s="2">
        <v>286.96</v>
      </c>
    </row>
    <row r="1530" spans="7:10" ht="15">
      <c r="G1530" t="s">
        <v>13</v>
      </c>
      <c r="H1530" t="str">
        <f>"087583002"</f>
        <v>087583002</v>
      </c>
      <c r="I1530" t="str">
        <f t="shared" si="43"/>
        <v>CINTAS CORPORATION #087</v>
      </c>
      <c r="J1530" s="2">
        <v>223.82</v>
      </c>
    </row>
    <row r="1531" spans="7:10" ht="15">
      <c r="G1531" t="s">
        <v>13</v>
      </c>
      <c r="H1531" t="str">
        <f>"087584973"</f>
        <v>087584973</v>
      </c>
      <c r="I1531" t="str">
        <f t="shared" si="43"/>
        <v>CINTAS CORPORATION #087</v>
      </c>
      <c r="J1531" s="2">
        <v>293.64</v>
      </c>
    </row>
    <row r="1532" spans="7:10" ht="15">
      <c r="G1532" t="s">
        <v>13</v>
      </c>
      <c r="H1532" t="str">
        <f>"087587064"</f>
        <v>087587064</v>
      </c>
      <c r="I1532" t="str">
        <f t="shared" si="43"/>
        <v>CINTAS CORPORATION #087</v>
      </c>
      <c r="J1532" s="2">
        <v>159.57</v>
      </c>
    </row>
    <row r="1533" spans="1:10" ht="15">
      <c r="A1533" t="s">
        <v>65</v>
      </c>
      <c r="B1533" t="s">
        <v>11</v>
      </c>
      <c r="C1533">
        <v>53486</v>
      </c>
      <c r="D1533" s="2">
        <v>4336.24</v>
      </c>
      <c r="E1533" s="1">
        <v>42747</v>
      </c>
      <c r="F1533" t="s">
        <v>18</v>
      </c>
      <c r="G1533" t="s">
        <v>267</v>
      </c>
      <c r="H1533" t="str">
        <f>"9777582904"</f>
        <v>9777582904</v>
      </c>
      <c r="I1533" t="str">
        <f>"VERIZON WIRELESS"</f>
        <v>VERIZON WIRELESS</v>
      </c>
      <c r="J1533" s="2">
        <v>-115.2</v>
      </c>
    </row>
    <row r="1534" spans="7:10" ht="15">
      <c r="G1534" t="s">
        <v>13</v>
      </c>
      <c r="H1534" t="str">
        <f>"9776624868"</f>
        <v>9776624868</v>
      </c>
      <c r="I1534" t="str">
        <f>"VERIZON WIRELESS"</f>
        <v>VERIZON WIRELESS</v>
      </c>
      <c r="J1534" s="2">
        <v>50.08</v>
      </c>
    </row>
    <row r="1535" spans="7:10" ht="15">
      <c r="G1535" t="s">
        <v>13</v>
      </c>
      <c r="H1535" t="str">
        <f>"9777582904"</f>
        <v>9777582904</v>
      </c>
      <c r="I1535" t="str">
        <f>"VERIZON WIRELESS"</f>
        <v>VERIZON WIRELESS</v>
      </c>
      <c r="J1535" s="2">
        <v>4382.36</v>
      </c>
    </row>
    <row r="1536" spans="7:10" ht="15">
      <c r="G1536" t="s">
        <v>13</v>
      </c>
      <c r="H1536" t="str">
        <f>"9777582905"</f>
        <v>9777582905</v>
      </c>
      <c r="I1536" t="str">
        <f>"VERIZON WIRELESS"</f>
        <v>VERIZON WIRELESS</v>
      </c>
      <c r="J1536" s="2">
        <v>19</v>
      </c>
    </row>
    <row r="1537" spans="1:10" ht="15">
      <c r="A1537" t="s">
        <v>170</v>
      </c>
      <c r="B1537" t="s">
        <v>11</v>
      </c>
      <c r="C1537">
        <v>53489</v>
      </c>
      <c r="D1537" s="2">
        <v>7172.42</v>
      </c>
      <c r="E1537" s="1">
        <v>42747</v>
      </c>
      <c r="F1537" t="s">
        <v>18</v>
      </c>
      <c r="G1537" t="s">
        <v>13</v>
      </c>
      <c r="H1537" t="str">
        <f>"27755"</f>
        <v>27755</v>
      </c>
      <c r="I1537" t="str">
        <f>"BARRETT &amp; SONS  INC."</f>
        <v>BARRETT &amp; SONS  INC.</v>
      </c>
      <c r="J1537" s="2">
        <v>4864.42</v>
      </c>
    </row>
    <row r="1538" spans="7:10" ht="15">
      <c r="G1538" t="s">
        <v>13</v>
      </c>
      <c r="H1538" t="str">
        <f>"27820"</f>
        <v>27820</v>
      </c>
      <c r="I1538" t="str">
        <f>"BARRETT &amp; SONS  INC."</f>
        <v>BARRETT &amp; SONS  INC.</v>
      </c>
      <c r="J1538" s="2">
        <v>2308</v>
      </c>
    </row>
    <row r="1539" spans="1:10" ht="15">
      <c r="A1539" t="s">
        <v>67</v>
      </c>
      <c r="B1539" t="s">
        <v>11</v>
      </c>
      <c r="C1539">
        <v>53490</v>
      </c>
      <c r="D1539" s="2">
        <v>270</v>
      </c>
      <c r="E1539" s="1">
        <v>42747</v>
      </c>
      <c r="F1539" t="s">
        <v>18</v>
      </c>
      <c r="G1539" t="s">
        <v>13</v>
      </c>
      <c r="H1539" t="str">
        <f>"01/10/2017"</f>
        <v>01/10/2017</v>
      </c>
      <c r="I1539" t="str">
        <f>"MARIA GONZALES"</f>
        <v>MARIA GONZALES</v>
      </c>
      <c r="J1539" s="2">
        <v>270</v>
      </c>
    </row>
    <row r="1540" spans="1:10" ht="15">
      <c r="A1540" t="s">
        <v>68</v>
      </c>
      <c r="B1540" t="s">
        <v>11</v>
      </c>
      <c r="C1540">
        <v>53491</v>
      </c>
      <c r="D1540" s="2">
        <v>3514.61</v>
      </c>
      <c r="E1540" s="1">
        <v>42747</v>
      </c>
      <c r="F1540" t="s">
        <v>18</v>
      </c>
      <c r="G1540" t="s">
        <v>13</v>
      </c>
      <c r="H1540" t="str">
        <f>"879473166002"</f>
        <v>879473166002</v>
      </c>
      <c r="I1540" t="str">
        <f aca="true" t="shared" si="44" ref="I1540:I1566">"OFFICE DEPOT  INC."</f>
        <v>OFFICE DEPOT  INC.</v>
      </c>
      <c r="J1540" s="2">
        <v>32.36</v>
      </c>
    </row>
    <row r="1541" spans="7:10" ht="15">
      <c r="G1541" t="s">
        <v>13</v>
      </c>
      <c r="H1541" t="str">
        <f>"883942422001"</f>
        <v>883942422001</v>
      </c>
      <c r="I1541" t="str">
        <f t="shared" si="44"/>
        <v>OFFICE DEPOT  INC.</v>
      </c>
      <c r="J1541" s="2">
        <v>67.61</v>
      </c>
    </row>
    <row r="1542" spans="7:10" ht="15">
      <c r="G1542" t="s">
        <v>13</v>
      </c>
      <c r="H1542" t="str">
        <f>"884106502001"</f>
        <v>884106502001</v>
      </c>
      <c r="I1542" t="str">
        <f t="shared" si="44"/>
        <v>OFFICE DEPOT  INC.</v>
      </c>
      <c r="J1542" s="2">
        <v>143.87</v>
      </c>
    </row>
    <row r="1543" spans="7:10" ht="15">
      <c r="G1543" t="s">
        <v>13</v>
      </c>
      <c r="H1543" t="str">
        <f>"884580304001"</f>
        <v>884580304001</v>
      </c>
      <c r="I1543" t="str">
        <f t="shared" si="44"/>
        <v>OFFICE DEPOT  INC.</v>
      </c>
      <c r="J1543" s="2">
        <v>85.59</v>
      </c>
    </row>
    <row r="1544" spans="7:10" ht="15">
      <c r="G1544" t="s">
        <v>13</v>
      </c>
      <c r="H1544" t="str">
        <f>"884583043001"</f>
        <v>884583043001</v>
      </c>
      <c r="I1544" t="str">
        <f t="shared" si="44"/>
        <v>OFFICE DEPOT  INC.</v>
      </c>
      <c r="J1544" s="2">
        <v>44.98</v>
      </c>
    </row>
    <row r="1545" spans="7:10" ht="15">
      <c r="G1545" t="s">
        <v>13</v>
      </c>
      <c r="H1545" t="str">
        <f>"884583044001"</f>
        <v>884583044001</v>
      </c>
      <c r="I1545" t="str">
        <f t="shared" si="44"/>
        <v>OFFICE DEPOT  INC.</v>
      </c>
      <c r="J1545" s="2">
        <v>36.53</v>
      </c>
    </row>
    <row r="1546" spans="7:10" ht="15">
      <c r="G1546" t="s">
        <v>13</v>
      </c>
      <c r="H1546" t="str">
        <f>"885502835001"</f>
        <v>885502835001</v>
      </c>
      <c r="I1546" t="str">
        <f t="shared" si="44"/>
        <v>OFFICE DEPOT  INC.</v>
      </c>
      <c r="J1546" s="2">
        <v>131.68</v>
      </c>
    </row>
    <row r="1547" spans="7:10" ht="15">
      <c r="G1547" t="s">
        <v>13</v>
      </c>
      <c r="H1547" t="str">
        <f>"885659784001"</f>
        <v>885659784001</v>
      </c>
      <c r="I1547" t="str">
        <f t="shared" si="44"/>
        <v>OFFICE DEPOT  INC.</v>
      </c>
      <c r="J1547" s="2">
        <v>195.23</v>
      </c>
    </row>
    <row r="1548" spans="7:10" ht="15">
      <c r="G1548" t="s">
        <v>13</v>
      </c>
      <c r="H1548" t="str">
        <f>"885666456001"</f>
        <v>885666456001</v>
      </c>
      <c r="I1548" t="str">
        <f t="shared" si="44"/>
        <v>OFFICE DEPOT  INC.</v>
      </c>
      <c r="J1548" s="2">
        <v>19.99</v>
      </c>
    </row>
    <row r="1549" spans="7:10" ht="15">
      <c r="G1549" t="s">
        <v>13</v>
      </c>
      <c r="H1549" t="str">
        <f>"885666457001"</f>
        <v>885666457001</v>
      </c>
      <c r="I1549" t="str">
        <f t="shared" si="44"/>
        <v>OFFICE DEPOT  INC.</v>
      </c>
      <c r="J1549" s="2">
        <v>49.98</v>
      </c>
    </row>
    <row r="1550" spans="7:10" ht="15">
      <c r="G1550" t="s">
        <v>13</v>
      </c>
      <c r="H1550" t="str">
        <f>"885666458001"</f>
        <v>885666458001</v>
      </c>
      <c r="I1550" t="str">
        <f t="shared" si="44"/>
        <v>OFFICE DEPOT  INC.</v>
      </c>
      <c r="J1550" s="2">
        <v>26.99</v>
      </c>
    </row>
    <row r="1551" spans="7:10" ht="15">
      <c r="G1551" t="s">
        <v>13</v>
      </c>
      <c r="H1551" t="str">
        <f>"885781702001"</f>
        <v>885781702001</v>
      </c>
      <c r="I1551" t="str">
        <f t="shared" si="44"/>
        <v>OFFICE DEPOT  INC.</v>
      </c>
      <c r="J1551" s="2">
        <v>55.37</v>
      </c>
    </row>
    <row r="1552" spans="7:10" ht="15">
      <c r="G1552" t="s">
        <v>13</v>
      </c>
      <c r="H1552" t="str">
        <f>"885782610001"</f>
        <v>885782610001</v>
      </c>
      <c r="I1552" t="str">
        <f t="shared" si="44"/>
        <v>OFFICE DEPOT  INC.</v>
      </c>
      <c r="J1552" s="2">
        <v>62.98</v>
      </c>
    </row>
    <row r="1553" spans="7:10" ht="15">
      <c r="G1553" t="s">
        <v>13</v>
      </c>
      <c r="H1553" t="str">
        <f>"885801820001"</f>
        <v>885801820001</v>
      </c>
      <c r="I1553" t="str">
        <f t="shared" si="44"/>
        <v>OFFICE DEPOT  INC.</v>
      </c>
      <c r="J1553" s="2">
        <v>28.15</v>
      </c>
    </row>
    <row r="1554" spans="7:10" ht="15">
      <c r="G1554" t="s">
        <v>13</v>
      </c>
      <c r="H1554" t="str">
        <f>"886909510001"</f>
        <v>886909510001</v>
      </c>
      <c r="I1554" t="str">
        <f t="shared" si="44"/>
        <v>OFFICE DEPOT  INC.</v>
      </c>
      <c r="J1554" s="2">
        <v>66.95</v>
      </c>
    </row>
    <row r="1555" spans="7:10" ht="15">
      <c r="G1555" t="s">
        <v>13</v>
      </c>
      <c r="H1555" t="str">
        <f>"887313102001"</f>
        <v>887313102001</v>
      </c>
      <c r="I1555" t="str">
        <f t="shared" si="44"/>
        <v>OFFICE DEPOT  INC.</v>
      </c>
      <c r="J1555" s="2">
        <v>372.79</v>
      </c>
    </row>
    <row r="1556" spans="7:10" ht="15">
      <c r="G1556" t="s">
        <v>13</v>
      </c>
      <c r="H1556" t="str">
        <f>"887549826001"</f>
        <v>887549826001</v>
      </c>
      <c r="I1556" t="str">
        <f t="shared" si="44"/>
        <v>OFFICE DEPOT  INC.</v>
      </c>
      <c r="J1556" s="2">
        <v>294.93</v>
      </c>
    </row>
    <row r="1557" spans="7:10" ht="15">
      <c r="G1557" t="s">
        <v>13</v>
      </c>
      <c r="H1557" t="str">
        <f>"888000798001"</f>
        <v>888000798001</v>
      </c>
      <c r="I1557" t="str">
        <f t="shared" si="44"/>
        <v>OFFICE DEPOT  INC.</v>
      </c>
      <c r="J1557" s="2">
        <v>25.09</v>
      </c>
    </row>
    <row r="1558" spans="7:10" ht="15">
      <c r="G1558" t="s">
        <v>13</v>
      </c>
      <c r="H1558" t="str">
        <f>"888117856001"</f>
        <v>888117856001</v>
      </c>
      <c r="I1558" t="str">
        <f t="shared" si="44"/>
        <v>OFFICE DEPOT  INC.</v>
      </c>
      <c r="J1558" s="2">
        <v>10.39</v>
      </c>
    </row>
    <row r="1559" spans="7:10" ht="15">
      <c r="G1559" t="s">
        <v>13</v>
      </c>
      <c r="H1559" t="str">
        <f>"888323953001"</f>
        <v>888323953001</v>
      </c>
      <c r="I1559" t="str">
        <f t="shared" si="44"/>
        <v>OFFICE DEPOT  INC.</v>
      </c>
      <c r="J1559" s="2">
        <v>85.47</v>
      </c>
    </row>
    <row r="1560" spans="7:10" ht="15">
      <c r="G1560" t="s">
        <v>13</v>
      </c>
      <c r="H1560" t="str">
        <f>"888324299001"</f>
        <v>888324299001</v>
      </c>
      <c r="I1560" t="str">
        <f t="shared" si="44"/>
        <v>OFFICE DEPOT  INC.</v>
      </c>
      <c r="J1560" s="2">
        <v>47.99</v>
      </c>
    </row>
    <row r="1561" spans="7:10" ht="15">
      <c r="G1561" t="s">
        <v>13</v>
      </c>
      <c r="H1561" t="str">
        <f>"888724198001"</f>
        <v>888724198001</v>
      </c>
      <c r="I1561" t="str">
        <f t="shared" si="44"/>
        <v>OFFICE DEPOT  INC.</v>
      </c>
      <c r="J1561" s="2">
        <v>165.7</v>
      </c>
    </row>
    <row r="1562" spans="7:10" ht="15">
      <c r="G1562" t="s">
        <v>13</v>
      </c>
      <c r="H1562" t="str">
        <f>"888725758001"</f>
        <v>888725758001</v>
      </c>
      <c r="I1562" t="str">
        <f t="shared" si="44"/>
        <v>OFFICE DEPOT  INC.</v>
      </c>
      <c r="J1562" s="2">
        <v>47.49</v>
      </c>
    </row>
    <row r="1563" spans="7:10" ht="15">
      <c r="G1563" t="s">
        <v>13</v>
      </c>
      <c r="H1563" t="str">
        <f>"889118813001"</f>
        <v>889118813001</v>
      </c>
      <c r="I1563" t="str">
        <f t="shared" si="44"/>
        <v>OFFICE DEPOT  INC.</v>
      </c>
      <c r="J1563" s="2">
        <v>155.34</v>
      </c>
    </row>
    <row r="1564" spans="7:10" ht="15">
      <c r="G1564" t="s">
        <v>13</v>
      </c>
      <c r="H1564" t="str">
        <f>"889119795001"</f>
        <v>889119795001</v>
      </c>
      <c r="I1564" t="str">
        <f t="shared" si="44"/>
        <v>OFFICE DEPOT  INC.</v>
      </c>
      <c r="J1564" s="2">
        <v>1199.99</v>
      </c>
    </row>
    <row r="1565" spans="7:10" ht="15">
      <c r="G1565" t="s">
        <v>13</v>
      </c>
      <c r="H1565" t="str">
        <f>"889366364001"</f>
        <v>889366364001</v>
      </c>
      <c r="I1565" t="str">
        <f t="shared" si="44"/>
        <v>OFFICE DEPOT  INC.</v>
      </c>
      <c r="J1565" s="2">
        <v>56.68</v>
      </c>
    </row>
    <row r="1566" spans="7:10" ht="15">
      <c r="G1566" t="s">
        <v>13</v>
      </c>
      <c r="H1566" t="str">
        <f>"889366603001"</f>
        <v>889366603001</v>
      </c>
      <c r="I1566" t="str">
        <f t="shared" si="44"/>
        <v>OFFICE DEPOT  INC.</v>
      </c>
      <c r="J1566" s="2">
        <v>4.49</v>
      </c>
    </row>
    <row r="1567" spans="1:10" ht="15">
      <c r="A1567" t="s">
        <v>118</v>
      </c>
      <c r="B1567" t="s">
        <v>11</v>
      </c>
      <c r="C1567">
        <v>53496</v>
      </c>
      <c r="D1567" s="2">
        <v>412.01</v>
      </c>
      <c r="E1567" s="1">
        <v>42747</v>
      </c>
      <c r="F1567" t="s">
        <v>18</v>
      </c>
      <c r="G1567" t="s">
        <v>13</v>
      </c>
      <c r="H1567" t="str">
        <f>"201701127882"</f>
        <v>201701127882</v>
      </c>
      <c r="I1567" t="str">
        <f>"TRACTOR SUPPLY CREDIT PLAN"</f>
        <v>TRACTOR SUPPLY CREDIT PLAN</v>
      </c>
      <c r="J1567" s="2">
        <v>412.01</v>
      </c>
    </row>
    <row r="1568" spans="1:10" ht="15">
      <c r="A1568" t="s">
        <v>307</v>
      </c>
      <c r="B1568" t="s">
        <v>11</v>
      </c>
      <c r="C1568">
        <v>53497</v>
      </c>
      <c r="D1568" s="2">
        <v>3180.5</v>
      </c>
      <c r="E1568" s="1">
        <v>42747</v>
      </c>
      <c r="F1568" t="s">
        <v>18</v>
      </c>
      <c r="G1568" t="s">
        <v>13</v>
      </c>
      <c r="H1568" t="str">
        <f>"4029"</f>
        <v>4029</v>
      </c>
      <c r="I1568" t="str">
        <f>"CHEM EQUIPMENT"</f>
        <v>CHEM EQUIPMENT</v>
      </c>
      <c r="J1568" s="2">
        <v>3180.5</v>
      </c>
    </row>
    <row r="1569" spans="1:10" ht="15">
      <c r="A1569" t="s">
        <v>70</v>
      </c>
      <c r="B1569" t="s">
        <v>11</v>
      </c>
      <c r="C1569">
        <v>53498</v>
      </c>
      <c r="D1569" s="2">
        <v>121.9</v>
      </c>
      <c r="E1569" s="1">
        <v>42747</v>
      </c>
      <c r="F1569" t="s">
        <v>18</v>
      </c>
      <c r="G1569" t="s">
        <v>13</v>
      </c>
      <c r="H1569" t="str">
        <f>"1428251"</f>
        <v>1428251</v>
      </c>
      <c r="I1569" t="str">
        <f>"OMNIBUS-M  INC.D.B.A."</f>
        <v>OMNIBUS-M  INC.D.B.A.</v>
      </c>
      <c r="J1569" s="2">
        <v>51.95</v>
      </c>
    </row>
    <row r="1570" spans="7:10" ht="15">
      <c r="G1570" t="s">
        <v>13</v>
      </c>
      <c r="H1570" t="str">
        <f>"1428252"</f>
        <v>1428252</v>
      </c>
      <c r="I1570" t="str">
        <f>"OMNIBUS-M  INC.D.B.A."</f>
        <v>OMNIBUS-M  INC.D.B.A.</v>
      </c>
      <c r="J1570" s="2">
        <v>69.95</v>
      </c>
    </row>
    <row r="1571" spans="1:10" ht="15">
      <c r="A1571" t="s">
        <v>119</v>
      </c>
      <c r="B1571" t="s">
        <v>11</v>
      </c>
      <c r="C1571">
        <v>53499</v>
      </c>
      <c r="D1571" s="2">
        <v>2066.32</v>
      </c>
      <c r="E1571" s="1">
        <v>42747</v>
      </c>
      <c r="F1571" t="s">
        <v>18</v>
      </c>
      <c r="G1571" t="s">
        <v>13</v>
      </c>
      <c r="H1571" t="str">
        <f>"857002444-16"</f>
        <v>857002444-16</v>
      </c>
      <c r="I1571" t="str">
        <f>"DPC INDUSTRIES  INC."</f>
        <v>DPC INDUSTRIES  INC.</v>
      </c>
      <c r="J1571" s="2">
        <v>823.36</v>
      </c>
    </row>
    <row r="1572" spans="7:10" ht="15">
      <c r="G1572" t="s">
        <v>13</v>
      </c>
      <c r="H1572" t="str">
        <f>"857002476-16"</f>
        <v>857002476-16</v>
      </c>
      <c r="I1572" t="str">
        <f>"DPC INDUSTRIES  INC."</f>
        <v>DPC INDUSTRIES  INC.</v>
      </c>
      <c r="J1572" s="2">
        <v>623.44</v>
      </c>
    </row>
    <row r="1573" spans="7:10" ht="15">
      <c r="G1573" t="s">
        <v>13</v>
      </c>
      <c r="H1573" t="str">
        <f>"857002564-16"</f>
        <v>857002564-16</v>
      </c>
      <c r="I1573" t="str">
        <f>"DPC INDUSTRIES  INC."</f>
        <v>DPC INDUSTRIES  INC.</v>
      </c>
      <c r="J1573" s="2">
        <v>619.52</v>
      </c>
    </row>
    <row r="1574" spans="1:10" ht="15">
      <c r="A1574" t="s">
        <v>120</v>
      </c>
      <c r="B1574" t="s">
        <v>11</v>
      </c>
      <c r="C1574">
        <v>53500</v>
      </c>
      <c r="D1574" s="2">
        <v>452.19</v>
      </c>
      <c r="E1574" s="1">
        <v>42747</v>
      </c>
      <c r="F1574" t="s">
        <v>18</v>
      </c>
      <c r="G1574" t="s">
        <v>13</v>
      </c>
      <c r="H1574" t="str">
        <f>"11138942"</f>
        <v>11138942</v>
      </c>
      <c r="I1574" t="str">
        <f>"MCCOY'S CORPORATION"</f>
        <v>MCCOY'S CORPORATION</v>
      </c>
      <c r="J1574" s="2">
        <v>452.19</v>
      </c>
    </row>
    <row r="1575" spans="1:10" ht="15">
      <c r="A1575" t="s">
        <v>244</v>
      </c>
      <c r="B1575" t="s">
        <v>11</v>
      </c>
      <c r="C1575">
        <v>53501</v>
      </c>
      <c r="D1575" s="2">
        <v>107</v>
      </c>
      <c r="E1575" s="1">
        <v>42747</v>
      </c>
      <c r="F1575" t="s">
        <v>18</v>
      </c>
      <c r="G1575" t="s">
        <v>13</v>
      </c>
      <c r="H1575" t="str">
        <f>"ACCINV0009679"</f>
        <v>ACCINV0009679</v>
      </c>
      <c r="I1575" t="str">
        <f>"WATCHGUARD VIDEO"</f>
        <v>WATCHGUARD VIDEO</v>
      </c>
      <c r="J1575" s="2">
        <v>107</v>
      </c>
    </row>
    <row r="1576" spans="1:10" ht="15">
      <c r="A1576" t="s">
        <v>73</v>
      </c>
      <c r="B1576" t="s">
        <v>11</v>
      </c>
      <c r="C1576">
        <v>53502</v>
      </c>
      <c r="D1576" s="2">
        <v>81.87</v>
      </c>
      <c r="E1576" s="1">
        <v>42747</v>
      </c>
      <c r="F1576" t="s">
        <v>18</v>
      </c>
      <c r="G1576" t="s">
        <v>13</v>
      </c>
      <c r="H1576" t="str">
        <f>"5-644-36944"</f>
        <v>5-644-36944</v>
      </c>
      <c r="I1576" t="str">
        <f>"FEDEX"</f>
        <v>FEDEX</v>
      </c>
      <c r="J1576" s="2">
        <v>7.09</v>
      </c>
    </row>
    <row r="1577" spans="7:10" ht="15">
      <c r="G1577" t="s">
        <v>13</v>
      </c>
      <c r="H1577" t="str">
        <f>"5-651-86048"</f>
        <v>5-651-86048</v>
      </c>
      <c r="I1577" t="str">
        <f>"FEDEX"</f>
        <v>FEDEX</v>
      </c>
      <c r="J1577" s="2">
        <v>13.16</v>
      </c>
    </row>
    <row r="1578" spans="7:10" ht="15">
      <c r="G1578" t="s">
        <v>13</v>
      </c>
      <c r="H1578" t="str">
        <f>"5-657-27063"</f>
        <v>5-657-27063</v>
      </c>
      <c r="I1578" t="str">
        <f>"FEDEX"</f>
        <v>FEDEX</v>
      </c>
      <c r="J1578" s="2">
        <v>61.62</v>
      </c>
    </row>
    <row r="1579" spans="1:10" ht="15">
      <c r="A1579" t="s">
        <v>74</v>
      </c>
      <c r="B1579" t="s">
        <v>11</v>
      </c>
      <c r="C1579">
        <v>53503</v>
      </c>
      <c r="D1579" s="2">
        <v>40.6</v>
      </c>
      <c r="E1579" s="1">
        <v>42747</v>
      </c>
      <c r="F1579" t="s">
        <v>18</v>
      </c>
      <c r="G1579" t="s">
        <v>13</v>
      </c>
      <c r="H1579" t="str">
        <f>"201701097878"</f>
        <v>201701097878</v>
      </c>
      <c r="I1579" t="str">
        <f>"TX TAG"</f>
        <v>TX TAG</v>
      </c>
      <c r="J1579" s="2">
        <v>40.6</v>
      </c>
    </row>
    <row r="1580" spans="1:10" ht="15">
      <c r="A1580" t="s">
        <v>102</v>
      </c>
      <c r="B1580" t="s">
        <v>11</v>
      </c>
      <c r="C1580">
        <v>53504</v>
      </c>
      <c r="D1580" s="2">
        <v>750</v>
      </c>
      <c r="E1580" s="1">
        <v>42747</v>
      </c>
      <c r="F1580" t="s">
        <v>18</v>
      </c>
      <c r="G1580" t="s">
        <v>13</v>
      </c>
      <c r="H1580" t="str">
        <f>"1648-20170101-1"</f>
        <v>1648-20170101-1</v>
      </c>
      <c r="I1580" t="str">
        <f>"LVWIFI.COM"</f>
        <v>LVWIFI.COM</v>
      </c>
      <c r="J1580" s="2">
        <v>750</v>
      </c>
    </row>
    <row r="1581" spans="1:10" ht="15">
      <c r="A1581" t="s">
        <v>308</v>
      </c>
      <c r="B1581" t="s">
        <v>11</v>
      </c>
      <c r="C1581">
        <v>53505</v>
      </c>
      <c r="D1581" s="2">
        <v>6855.28</v>
      </c>
      <c r="E1581" s="1">
        <v>42747</v>
      </c>
      <c r="F1581" t="s">
        <v>18</v>
      </c>
      <c r="G1581" t="s">
        <v>13</v>
      </c>
      <c r="H1581" t="str">
        <f>"44031"</f>
        <v>44031</v>
      </c>
      <c r="I1581" t="str">
        <f>"MUNISERVICES  LLC"</f>
        <v>MUNISERVICES  LLC</v>
      </c>
      <c r="J1581" s="2">
        <v>2550</v>
      </c>
    </row>
    <row r="1582" spans="7:10" ht="15">
      <c r="G1582" t="s">
        <v>13</v>
      </c>
      <c r="H1582" t="str">
        <f>"44174"</f>
        <v>44174</v>
      </c>
      <c r="I1582" t="str">
        <f>"MUNISERVICES  LLC"</f>
        <v>MUNISERVICES  LLC</v>
      </c>
      <c r="J1582" s="2">
        <v>1500</v>
      </c>
    </row>
    <row r="1583" spans="7:10" ht="15">
      <c r="G1583" t="s">
        <v>13</v>
      </c>
      <c r="H1583" t="str">
        <f>"44431"</f>
        <v>44431</v>
      </c>
      <c r="I1583" t="str">
        <f>"MUNISERVICES  LLC"</f>
        <v>MUNISERVICES  LLC</v>
      </c>
      <c r="J1583" s="2">
        <v>2550</v>
      </c>
    </row>
    <row r="1584" spans="7:10" ht="15">
      <c r="G1584" t="s">
        <v>13</v>
      </c>
      <c r="H1584" t="str">
        <f>"44437"</f>
        <v>44437</v>
      </c>
      <c r="I1584" t="str">
        <f>"MUNISERVICES  LLC"</f>
        <v>MUNISERVICES  LLC</v>
      </c>
      <c r="J1584" s="2">
        <v>255.28</v>
      </c>
    </row>
    <row r="1585" spans="1:10" ht="15">
      <c r="A1585" t="s">
        <v>209</v>
      </c>
      <c r="B1585" t="s">
        <v>11</v>
      </c>
      <c r="C1585">
        <v>53506</v>
      </c>
      <c r="D1585" s="2">
        <v>50.59</v>
      </c>
      <c r="E1585" s="1">
        <v>42747</v>
      </c>
      <c r="F1585" t="s">
        <v>18</v>
      </c>
      <c r="G1585" t="s">
        <v>13</v>
      </c>
      <c r="H1585" t="str">
        <f>"STX0036488/89"</f>
        <v>STX0036488/89</v>
      </c>
      <c r="I1585" t="str">
        <f>"TEXAS COMMISSION ON ENVIRONMEN"</f>
        <v>TEXAS COMMISSION ON ENVIRONMEN</v>
      </c>
      <c r="J1585" s="2">
        <v>50.59</v>
      </c>
    </row>
    <row r="1586" spans="1:10" ht="15">
      <c r="A1586" t="s">
        <v>75</v>
      </c>
      <c r="B1586" t="s">
        <v>11</v>
      </c>
      <c r="C1586">
        <v>53507</v>
      </c>
      <c r="D1586" s="2">
        <v>2000</v>
      </c>
      <c r="E1586" s="1">
        <v>42747</v>
      </c>
      <c r="F1586" t="s">
        <v>18</v>
      </c>
      <c r="G1586" t="s">
        <v>13</v>
      </c>
      <c r="H1586" t="str">
        <f>"2016136"</f>
        <v>2016136</v>
      </c>
      <c r="I1586" t="str">
        <f>"THE LAW OFFICE OF TOM CALDWELL"</f>
        <v>THE LAW OFFICE OF TOM CALDWELL</v>
      </c>
      <c r="J1586" s="2">
        <v>2000</v>
      </c>
    </row>
    <row r="1587" spans="1:10" ht="15">
      <c r="A1587" t="s">
        <v>104</v>
      </c>
      <c r="B1587" t="s">
        <v>11</v>
      </c>
      <c r="C1587">
        <v>53508</v>
      </c>
      <c r="D1587" s="2">
        <v>476.13</v>
      </c>
      <c r="E1587" s="1">
        <v>42747</v>
      </c>
      <c r="F1587" t="s">
        <v>18</v>
      </c>
      <c r="G1587" t="s">
        <v>13</v>
      </c>
      <c r="H1587" t="str">
        <f>"AM 1/10/17"</f>
        <v>AM 1/10/17</v>
      </c>
      <c r="I1587" t="str">
        <f>"CITY OF FLORESVILLE -PETTY CAS"</f>
        <v>CITY OF FLORESVILLE -PETTY CAS</v>
      </c>
      <c r="J1587" s="2">
        <v>142.99</v>
      </c>
    </row>
    <row r="1588" spans="7:10" ht="15">
      <c r="G1588" t="s">
        <v>13</v>
      </c>
      <c r="H1588" t="str">
        <f>"CM 1/12/17"</f>
        <v>CM 1/12/17</v>
      </c>
      <c r="I1588" t="str">
        <f>"CITY OF FLORESVILLE -PETTY CAS"</f>
        <v>CITY OF FLORESVILLE -PETTY CAS</v>
      </c>
      <c r="J1588" s="2">
        <v>333.14</v>
      </c>
    </row>
    <row r="1589" spans="1:10" ht="15">
      <c r="A1589" t="s">
        <v>123</v>
      </c>
      <c r="B1589" t="s">
        <v>11</v>
      </c>
      <c r="C1589">
        <v>53509</v>
      </c>
      <c r="D1589" s="2">
        <v>2409.62</v>
      </c>
      <c r="E1589" s="1">
        <v>42747</v>
      </c>
      <c r="F1589" t="s">
        <v>18</v>
      </c>
      <c r="G1589" t="s">
        <v>13</v>
      </c>
      <c r="H1589" t="str">
        <f>"52720912"</f>
        <v>52720912</v>
      </c>
      <c r="I1589" t="str">
        <f>"DE LAGE LANDEN PUBLIC FINANCE"</f>
        <v>DE LAGE LANDEN PUBLIC FINANCE</v>
      </c>
      <c r="J1589" s="2">
        <v>222.23</v>
      </c>
    </row>
    <row r="1590" spans="7:10" ht="15">
      <c r="G1590" t="s">
        <v>13</v>
      </c>
      <c r="H1590" t="str">
        <f>"52720916"</f>
        <v>52720916</v>
      </c>
      <c r="I1590" t="str">
        <f>"DE LAGE LANDEN PUBLIC FINANCE"</f>
        <v>DE LAGE LANDEN PUBLIC FINANCE</v>
      </c>
      <c r="J1590" s="2">
        <v>96.79</v>
      </c>
    </row>
    <row r="1591" spans="7:10" ht="15">
      <c r="G1591" t="s">
        <v>13</v>
      </c>
      <c r="H1591" t="str">
        <f>"52720923"</f>
        <v>52720923</v>
      </c>
      <c r="I1591" t="str">
        <f>"DE LAGE LANDEN PUBLIC FINANCE"</f>
        <v>DE LAGE LANDEN PUBLIC FINANCE</v>
      </c>
      <c r="J1591" s="2">
        <v>2090.6</v>
      </c>
    </row>
    <row r="1592" spans="1:10" ht="15">
      <c r="A1592" t="s">
        <v>247</v>
      </c>
      <c r="B1592" t="s">
        <v>11</v>
      </c>
      <c r="C1592">
        <v>53511</v>
      </c>
      <c r="D1592" s="2">
        <v>151.1</v>
      </c>
      <c r="E1592" s="1">
        <v>42747</v>
      </c>
      <c r="F1592" t="s">
        <v>18</v>
      </c>
      <c r="G1592" t="s">
        <v>13</v>
      </c>
      <c r="H1592" t="str">
        <f>"SI-998765"</f>
        <v>SI-998765</v>
      </c>
      <c r="I1592" t="str">
        <f>"BASS COMPUTER  INC."</f>
        <v>BASS COMPUTER  INC.</v>
      </c>
      <c r="J1592" s="2">
        <v>65.72</v>
      </c>
    </row>
    <row r="1593" spans="7:10" ht="15">
      <c r="G1593" t="s">
        <v>13</v>
      </c>
      <c r="H1593" t="str">
        <f>"SI-998767"</f>
        <v>SI-998767</v>
      </c>
      <c r="I1593" t="str">
        <f>"BASS COMPUTER  INC."</f>
        <v>BASS COMPUTER  INC.</v>
      </c>
      <c r="J1593" s="2">
        <v>85.38</v>
      </c>
    </row>
    <row r="1594" spans="1:10" ht="15">
      <c r="A1594" t="s">
        <v>79</v>
      </c>
      <c r="B1594" t="s">
        <v>11</v>
      </c>
      <c r="C1594">
        <v>53512</v>
      </c>
      <c r="D1594" s="2">
        <v>900</v>
      </c>
      <c r="E1594" s="1">
        <v>42747</v>
      </c>
      <c r="F1594" t="s">
        <v>18</v>
      </c>
      <c r="G1594" t="s">
        <v>13</v>
      </c>
      <c r="H1594" t="str">
        <f>"25539"</f>
        <v>25539</v>
      </c>
      <c r="I1594" t="str">
        <f>"APPRIVER"</f>
        <v>APPRIVER</v>
      </c>
      <c r="J1594" s="2">
        <v>900</v>
      </c>
    </row>
    <row r="1595" spans="1:10" ht="15">
      <c r="A1595" t="s">
        <v>81</v>
      </c>
      <c r="B1595" t="s">
        <v>11</v>
      </c>
      <c r="C1595">
        <v>53513</v>
      </c>
      <c r="D1595" s="2">
        <v>799.93</v>
      </c>
      <c r="E1595" s="1">
        <v>42747</v>
      </c>
      <c r="F1595" t="s">
        <v>18</v>
      </c>
      <c r="G1595" t="s">
        <v>13</v>
      </c>
      <c r="H1595" t="str">
        <f>"201701097866"</f>
        <v>201701097866</v>
      </c>
      <c r="I1595" t="str">
        <f aca="true" t="shared" si="45" ref="I1595:I1603">"FRONTIER"</f>
        <v>FRONTIER</v>
      </c>
      <c r="J1595" s="2">
        <v>79.72</v>
      </c>
    </row>
    <row r="1596" spans="7:10" ht="15">
      <c r="G1596" t="s">
        <v>13</v>
      </c>
      <c r="H1596" t="str">
        <f>"201701097867"</f>
        <v>201701097867</v>
      </c>
      <c r="I1596" t="str">
        <f t="shared" si="45"/>
        <v>FRONTIER</v>
      </c>
      <c r="J1596" s="2">
        <v>32.7</v>
      </c>
    </row>
    <row r="1597" spans="7:10" ht="15">
      <c r="G1597" t="s">
        <v>13</v>
      </c>
      <c r="H1597" t="str">
        <f>"201701097868"</f>
        <v>201701097868</v>
      </c>
      <c r="I1597" t="str">
        <f t="shared" si="45"/>
        <v>FRONTIER</v>
      </c>
      <c r="J1597" s="2">
        <v>435.41</v>
      </c>
    </row>
    <row r="1598" spans="7:10" ht="15">
      <c r="G1598" t="s">
        <v>13</v>
      </c>
      <c r="H1598" t="str">
        <f>"201701097869"</f>
        <v>201701097869</v>
      </c>
      <c r="I1598" t="str">
        <f t="shared" si="45"/>
        <v>FRONTIER</v>
      </c>
      <c r="J1598" s="2">
        <v>35.16</v>
      </c>
    </row>
    <row r="1599" spans="7:10" ht="15">
      <c r="G1599" t="s">
        <v>13</v>
      </c>
      <c r="H1599" t="str">
        <f>"201701097870"</f>
        <v>201701097870</v>
      </c>
      <c r="I1599" t="str">
        <f t="shared" si="45"/>
        <v>FRONTIER</v>
      </c>
      <c r="J1599" s="2">
        <v>54.87</v>
      </c>
    </row>
    <row r="1600" spans="7:10" ht="15">
      <c r="G1600" t="s">
        <v>13</v>
      </c>
      <c r="H1600" t="str">
        <f>"201701097871"</f>
        <v>201701097871</v>
      </c>
      <c r="I1600" t="str">
        <f t="shared" si="45"/>
        <v>FRONTIER</v>
      </c>
      <c r="J1600" s="2">
        <v>32.7</v>
      </c>
    </row>
    <row r="1601" spans="7:10" ht="15">
      <c r="G1601" t="s">
        <v>13</v>
      </c>
      <c r="H1601" t="str">
        <f>"201701097872"</f>
        <v>201701097872</v>
      </c>
      <c r="I1601" t="str">
        <f t="shared" si="45"/>
        <v>FRONTIER</v>
      </c>
      <c r="J1601" s="2">
        <v>31.59</v>
      </c>
    </row>
    <row r="1602" spans="7:10" ht="15">
      <c r="G1602" t="s">
        <v>13</v>
      </c>
      <c r="H1602" t="str">
        <f>"201701097873"</f>
        <v>201701097873</v>
      </c>
      <c r="I1602" t="str">
        <f t="shared" si="45"/>
        <v>FRONTIER</v>
      </c>
      <c r="J1602" s="2">
        <v>63.73</v>
      </c>
    </row>
    <row r="1603" spans="7:10" ht="15">
      <c r="G1603" t="s">
        <v>13</v>
      </c>
      <c r="H1603" t="str">
        <f>"201701097874"</f>
        <v>201701097874</v>
      </c>
      <c r="I1603" t="str">
        <f t="shared" si="45"/>
        <v>FRONTIER</v>
      </c>
      <c r="J1603" s="2">
        <v>34.05</v>
      </c>
    </row>
    <row r="1604" spans="1:10" ht="15">
      <c r="A1604" t="s">
        <v>212</v>
      </c>
      <c r="B1604" t="s">
        <v>11</v>
      </c>
      <c r="C1604">
        <v>53515</v>
      </c>
      <c r="D1604" s="2">
        <v>1264.02</v>
      </c>
      <c r="E1604" s="1">
        <v>42747</v>
      </c>
      <c r="F1604" t="s">
        <v>18</v>
      </c>
      <c r="G1604" t="s">
        <v>13</v>
      </c>
      <c r="H1604" t="str">
        <f>"BC0351524"</f>
        <v>BC0351524</v>
      </c>
      <c r="I1604" t="str">
        <f>"GALLS  LLC-D.B.A. STERLING'S U"</f>
        <v>GALLS  LLC-D.B.A. STERLING'S U</v>
      </c>
      <c r="J1604" s="2">
        <v>493.11</v>
      </c>
    </row>
    <row r="1605" spans="7:10" ht="15">
      <c r="G1605" t="s">
        <v>13</v>
      </c>
      <c r="H1605" t="str">
        <f>"BC0351591"</f>
        <v>BC0351591</v>
      </c>
      <c r="I1605" t="str">
        <f>"GALLS  LLC-D.B.A. STERLING'S U"</f>
        <v>GALLS  LLC-D.B.A. STERLING'S U</v>
      </c>
      <c r="J1605" s="2">
        <v>505.98</v>
      </c>
    </row>
    <row r="1606" spans="7:10" ht="15">
      <c r="G1606" t="s">
        <v>13</v>
      </c>
      <c r="H1606" t="str">
        <f>"BC0359511"</f>
        <v>BC0359511</v>
      </c>
      <c r="I1606" t="str">
        <f>"GALLS  LLC-D.B.A. STERLING'S U"</f>
        <v>GALLS  LLC-D.B.A. STERLING'S U</v>
      </c>
      <c r="J1606" s="2">
        <v>264.93</v>
      </c>
    </row>
    <row r="1607" spans="1:10" ht="15">
      <c r="A1607" t="s">
        <v>254</v>
      </c>
      <c r="B1607" t="s">
        <v>11</v>
      </c>
      <c r="C1607">
        <v>53516</v>
      </c>
      <c r="D1607" s="2">
        <v>25250</v>
      </c>
      <c r="E1607" s="1">
        <v>42747</v>
      </c>
      <c r="F1607" t="s">
        <v>18</v>
      </c>
      <c r="G1607" t="s">
        <v>13</v>
      </c>
      <c r="H1607" t="str">
        <f>"8611"</f>
        <v>8611</v>
      </c>
      <c r="I1607" t="str">
        <f>"HAYES ENGINEERING  INC"</f>
        <v>HAYES ENGINEERING  INC</v>
      </c>
      <c r="J1607" s="2">
        <v>19750</v>
      </c>
    </row>
    <row r="1608" spans="7:10" ht="15">
      <c r="G1608" t="s">
        <v>13</v>
      </c>
      <c r="H1608" t="str">
        <f>"8652"</f>
        <v>8652</v>
      </c>
      <c r="I1608" t="str">
        <f>"HAYES ENGINEERING  INC"</f>
        <v>HAYES ENGINEERING  INC</v>
      </c>
      <c r="J1608" s="2">
        <v>5500</v>
      </c>
    </row>
    <row r="1609" spans="1:10" ht="15">
      <c r="A1609" t="s">
        <v>251</v>
      </c>
      <c r="B1609" t="s">
        <v>11</v>
      </c>
      <c r="C1609">
        <v>53517</v>
      </c>
      <c r="D1609" s="2">
        <v>517.34</v>
      </c>
      <c r="E1609" s="1">
        <v>42747</v>
      </c>
      <c r="F1609" t="s">
        <v>18</v>
      </c>
      <c r="G1609" t="s">
        <v>13</v>
      </c>
      <c r="H1609" t="str">
        <f>"300702120001"</f>
        <v>300702120001</v>
      </c>
      <c r="I1609" t="str">
        <f>"VISION SERVICE PLAN"</f>
        <v>VISION SERVICE PLAN</v>
      </c>
      <c r="J1609" s="2">
        <v>517.34</v>
      </c>
    </row>
    <row r="1610" spans="1:10" ht="15">
      <c r="A1610" t="s">
        <v>252</v>
      </c>
      <c r="B1610" t="s">
        <v>11</v>
      </c>
      <c r="C1610">
        <v>53518</v>
      </c>
      <c r="D1610" s="2">
        <v>525</v>
      </c>
      <c r="E1610" s="1">
        <v>42747</v>
      </c>
      <c r="F1610" t="s">
        <v>15</v>
      </c>
      <c r="G1610" t="s">
        <v>13</v>
      </c>
      <c r="H1610" t="str">
        <f>"SRVCE00112654"</f>
        <v>SRVCE00112654</v>
      </c>
      <c r="I1610" t="str">
        <f>"ARAMENDIA"</f>
        <v>ARAMENDIA</v>
      </c>
      <c r="J1610" s="2">
        <v>525</v>
      </c>
    </row>
    <row r="1611" spans="1:10" ht="15">
      <c r="A1611" t="s">
        <v>252</v>
      </c>
      <c r="B1611" t="s">
        <v>11</v>
      </c>
      <c r="C1611">
        <v>53518</v>
      </c>
      <c r="D1611" s="2">
        <v>525</v>
      </c>
      <c r="E1611" s="1">
        <v>42747</v>
      </c>
      <c r="F1611" t="s">
        <v>15</v>
      </c>
      <c r="G1611" t="s">
        <v>16</v>
      </c>
      <c r="H1611" t="str">
        <f>"CHECK"</f>
        <v>CHECK</v>
      </c>
      <c r="I1611">
        <f>""</f>
      </c>
      <c r="J1611" s="2">
        <v>525</v>
      </c>
    </row>
    <row r="1612" spans="1:10" ht="15">
      <c r="A1612" t="s">
        <v>309</v>
      </c>
      <c r="B1612" t="s">
        <v>11</v>
      </c>
      <c r="C1612">
        <v>53519</v>
      </c>
      <c r="D1612" s="2">
        <v>86.5</v>
      </c>
      <c r="E1612" s="1">
        <v>42747</v>
      </c>
      <c r="F1612" t="s">
        <v>18</v>
      </c>
      <c r="G1612" t="s">
        <v>13</v>
      </c>
      <c r="H1612" t="str">
        <f>"14560165"</f>
        <v>14560165</v>
      </c>
      <c r="I1612" t="str">
        <f>"MATHESON TRI-GAS INC"</f>
        <v>MATHESON TRI-GAS INC</v>
      </c>
      <c r="J1612" s="2">
        <v>86.5</v>
      </c>
    </row>
    <row r="1613" spans="1:10" ht="15">
      <c r="A1613" t="s">
        <v>17</v>
      </c>
      <c r="B1613" t="s">
        <v>11</v>
      </c>
      <c r="C1613">
        <v>53520</v>
      </c>
      <c r="D1613" s="2">
        <v>184</v>
      </c>
      <c r="E1613" s="1">
        <v>42747</v>
      </c>
      <c r="F1613" t="s">
        <v>18</v>
      </c>
      <c r="G1613" t="s">
        <v>13</v>
      </c>
      <c r="H1613" t="str">
        <f>"TRAINING 1/16-19"</f>
        <v>TRAINING 1/16-19</v>
      </c>
      <c r="I1613" t="str">
        <f>"PERRY HYDEN"</f>
        <v>PERRY HYDEN</v>
      </c>
      <c r="J1613" s="2">
        <v>184</v>
      </c>
    </row>
    <row r="1614" spans="1:10" ht="15">
      <c r="A1614" t="s">
        <v>257</v>
      </c>
      <c r="B1614" t="s">
        <v>11</v>
      </c>
      <c r="C1614">
        <v>53521</v>
      </c>
      <c r="D1614" s="2">
        <v>150</v>
      </c>
      <c r="E1614" s="1">
        <v>42747</v>
      </c>
      <c r="F1614" t="s">
        <v>18</v>
      </c>
      <c r="G1614" t="s">
        <v>13</v>
      </c>
      <c r="H1614" t="str">
        <f>"TRNG REF"</f>
        <v>TRNG REF</v>
      </c>
      <c r="I1614" t="str">
        <f>"BILLY HERRERA"</f>
        <v>BILLY HERRERA</v>
      </c>
      <c r="J1614" s="2">
        <v>50</v>
      </c>
    </row>
    <row r="1615" spans="7:10" ht="15">
      <c r="G1615" t="s">
        <v>13</v>
      </c>
      <c r="H1615" t="str">
        <f>"TRNG REF*"</f>
        <v>TRNG REF*</v>
      </c>
      <c r="I1615" t="str">
        <f>"BILLY HERRERA"</f>
        <v>BILLY HERRERA</v>
      </c>
      <c r="J1615" s="2">
        <v>50</v>
      </c>
    </row>
    <row r="1616" spans="7:10" ht="15">
      <c r="G1616" t="s">
        <v>13</v>
      </c>
      <c r="H1616" t="str">
        <f>"TRNG REF-"</f>
        <v>TRNG REF-</v>
      </c>
      <c r="I1616" t="str">
        <f>"BILLY HERRERA"</f>
        <v>BILLY HERRERA</v>
      </c>
      <c r="J1616" s="2">
        <v>50</v>
      </c>
    </row>
    <row r="1617" spans="1:10" ht="15">
      <c r="A1617" t="s">
        <v>54</v>
      </c>
      <c r="B1617" t="s">
        <v>11</v>
      </c>
      <c r="C1617">
        <v>53522</v>
      </c>
      <c r="D1617" s="2">
        <v>19432.7</v>
      </c>
      <c r="E1617" s="1">
        <v>42747</v>
      </c>
      <c r="F1617" t="s">
        <v>18</v>
      </c>
      <c r="G1617" t="s">
        <v>13</v>
      </c>
      <c r="H1617" t="str">
        <f>"1491"</f>
        <v>1491</v>
      </c>
      <c r="I1617" t="str">
        <f aca="true" t="shared" si="46" ref="I1617:I1629">"THE LAW OFFICES OF LOUIS T. RO"</f>
        <v>THE LAW OFFICES OF LOUIS T. RO</v>
      </c>
      <c r="J1617" s="2">
        <v>792</v>
      </c>
    </row>
    <row r="1618" spans="7:10" ht="15">
      <c r="G1618" t="s">
        <v>13</v>
      </c>
      <c r="H1618" t="str">
        <f>"1492"</f>
        <v>1492</v>
      </c>
      <c r="I1618" t="str">
        <f t="shared" si="46"/>
        <v>THE LAW OFFICES OF LOUIS T. RO</v>
      </c>
      <c r="J1618" s="2">
        <v>180</v>
      </c>
    </row>
    <row r="1619" spans="7:10" ht="15">
      <c r="G1619" t="s">
        <v>13</v>
      </c>
      <c r="H1619" t="str">
        <f>"1493"</f>
        <v>1493</v>
      </c>
      <c r="I1619" t="str">
        <f t="shared" si="46"/>
        <v>THE LAW OFFICES OF LOUIS T. RO</v>
      </c>
      <c r="J1619" s="2">
        <v>2332</v>
      </c>
    </row>
    <row r="1620" spans="7:10" ht="15">
      <c r="G1620" t="s">
        <v>13</v>
      </c>
      <c r="H1620" t="str">
        <f>"1494"</f>
        <v>1494</v>
      </c>
      <c r="I1620" t="str">
        <f t="shared" si="46"/>
        <v>THE LAW OFFICES OF LOUIS T. RO</v>
      </c>
      <c r="J1620" s="2">
        <v>2648.2</v>
      </c>
    </row>
    <row r="1621" spans="7:10" ht="15">
      <c r="G1621" t="s">
        <v>13</v>
      </c>
      <c r="H1621" t="str">
        <f>"1495"</f>
        <v>1495</v>
      </c>
      <c r="I1621" t="str">
        <f t="shared" si="46"/>
        <v>THE LAW OFFICES OF LOUIS T. RO</v>
      </c>
      <c r="J1621" s="2">
        <v>6249</v>
      </c>
    </row>
    <row r="1622" spans="7:10" ht="15">
      <c r="G1622" t="s">
        <v>13</v>
      </c>
      <c r="H1622" t="str">
        <f>"1497"</f>
        <v>1497</v>
      </c>
      <c r="I1622" t="str">
        <f t="shared" si="46"/>
        <v>THE LAW OFFICES OF LOUIS T. RO</v>
      </c>
      <c r="J1622" s="2">
        <v>756</v>
      </c>
    </row>
    <row r="1623" spans="7:10" ht="15">
      <c r="G1623" t="s">
        <v>13</v>
      </c>
      <c r="H1623" t="str">
        <f>"1498"</f>
        <v>1498</v>
      </c>
      <c r="I1623" t="str">
        <f t="shared" si="46"/>
        <v>THE LAW OFFICES OF LOUIS T. RO</v>
      </c>
      <c r="J1623" s="2">
        <v>2138.5</v>
      </c>
    </row>
    <row r="1624" spans="7:10" ht="15">
      <c r="G1624" t="s">
        <v>13</v>
      </c>
      <c r="H1624" t="str">
        <f>"1499"</f>
        <v>1499</v>
      </c>
      <c r="I1624" t="str">
        <f t="shared" si="46"/>
        <v>THE LAW OFFICES OF LOUIS T. RO</v>
      </c>
      <c r="J1624" s="2">
        <v>753.5</v>
      </c>
    </row>
    <row r="1625" spans="7:10" ht="15">
      <c r="G1625" t="s">
        <v>13</v>
      </c>
      <c r="H1625" t="str">
        <f>"1500"</f>
        <v>1500</v>
      </c>
      <c r="I1625" t="str">
        <f t="shared" si="46"/>
        <v>THE LAW OFFICES OF LOUIS T. RO</v>
      </c>
      <c r="J1625" s="2">
        <v>843.5</v>
      </c>
    </row>
    <row r="1626" spans="7:10" ht="15">
      <c r="G1626" t="s">
        <v>13</v>
      </c>
      <c r="H1626" t="str">
        <f>"1501"</f>
        <v>1501</v>
      </c>
      <c r="I1626" t="str">
        <f t="shared" si="46"/>
        <v>THE LAW OFFICES OF LOUIS T. RO</v>
      </c>
      <c r="J1626" s="2">
        <v>1766</v>
      </c>
    </row>
    <row r="1627" spans="7:10" ht="15">
      <c r="G1627" t="s">
        <v>13</v>
      </c>
      <c r="H1627" t="str">
        <f>"1502"</f>
        <v>1502</v>
      </c>
      <c r="I1627" t="str">
        <f t="shared" si="46"/>
        <v>THE LAW OFFICES OF LOUIS T. RO</v>
      </c>
      <c r="J1627" s="2">
        <v>774</v>
      </c>
    </row>
    <row r="1628" spans="7:10" ht="15">
      <c r="G1628" t="s">
        <v>13</v>
      </c>
      <c r="H1628" t="str">
        <f>"1503"</f>
        <v>1503</v>
      </c>
      <c r="I1628" t="str">
        <f t="shared" si="46"/>
        <v>THE LAW OFFICES OF LOUIS T. RO</v>
      </c>
      <c r="J1628" s="2">
        <v>72</v>
      </c>
    </row>
    <row r="1629" spans="7:10" ht="15">
      <c r="G1629" t="s">
        <v>13</v>
      </c>
      <c r="H1629" t="str">
        <f>"1504"</f>
        <v>1504</v>
      </c>
      <c r="I1629" t="str">
        <f t="shared" si="46"/>
        <v>THE LAW OFFICES OF LOUIS T. RO</v>
      </c>
      <c r="J1629" s="2">
        <v>128</v>
      </c>
    </row>
    <row r="1630" spans="1:10" ht="15">
      <c r="A1630" t="s">
        <v>86</v>
      </c>
      <c r="B1630" t="s">
        <v>11</v>
      </c>
      <c r="C1630">
        <v>53525</v>
      </c>
      <c r="D1630" s="2">
        <v>75</v>
      </c>
      <c r="E1630" s="1">
        <v>42748</v>
      </c>
      <c r="F1630" t="s">
        <v>18</v>
      </c>
      <c r="G1630" t="s">
        <v>13</v>
      </c>
      <c r="H1630" t="str">
        <f>"01/2017-COUNCIL"</f>
        <v>01/2017-COUNCIL</v>
      </c>
      <c r="I1630">
        <f>""</f>
      </c>
      <c r="J1630" s="2">
        <v>75</v>
      </c>
    </row>
    <row r="1631" spans="1:10" ht="15">
      <c r="A1631" t="s">
        <v>91</v>
      </c>
      <c r="B1631" t="s">
        <v>11</v>
      </c>
      <c r="C1631">
        <v>53526</v>
      </c>
      <c r="D1631" s="2">
        <v>200</v>
      </c>
      <c r="E1631" s="1">
        <v>42748</v>
      </c>
      <c r="F1631" t="s">
        <v>18</v>
      </c>
      <c r="G1631" t="s">
        <v>13</v>
      </c>
      <c r="H1631" t="str">
        <f>"01/2017-5/2016"</f>
        <v>01/2017-5/2016</v>
      </c>
      <c r="I1631" t="str">
        <f>"JANITORIAL SERVICES"</f>
        <v>JANITORIAL SERVICES</v>
      </c>
      <c r="J1631" s="2">
        <v>200</v>
      </c>
    </row>
    <row r="1632" spans="1:10" ht="15">
      <c r="A1632" t="s">
        <v>89</v>
      </c>
      <c r="B1632" t="s">
        <v>11</v>
      </c>
      <c r="C1632">
        <v>53527</v>
      </c>
      <c r="D1632" s="2">
        <v>75</v>
      </c>
      <c r="E1632" s="1">
        <v>42748</v>
      </c>
      <c r="F1632" t="s">
        <v>18</v>
      </c>
      <c r="G1632" t="s">
        <v>13</v>
      </c>
      <c r="H1632" t="str">
        <f>"01/2017-COUNCIL"</f>
        <v>01/2017-COUNCIL</v>
      </c>
      <c r="I1632">
        <f>""</f>
      </c>
      <c r="J1632" s="2">
        <v>75</v>
      </c>
    </row>
    <row r="1633" spans="1:10" ht="15">
      <c r="A1633" t="s">
        <v>90</v>
      </c>
      <c r="B1633" t="s">
        <v>11</v>
      </c>
      <c r="C1633">
        <v>53528</v>
      </c>
      <c r="D1633" s="2">
        <v>75</v>
      </c>
      <c r="E1633" s="1">
        <v>42748</v>
      </c>
      <c r="F1633" t="s">
        <v>18</v>
      </c>
      <c r="G1633" t="s">
        <v>13</v>
      </c>
      <c r="H1633" t="str">
        <f>"01/2017-COUNCIL"</f>
        <v>01/2017-COUNCIL</v>
      </c>
      <c r="I1633">
        <f>""</f>
      </c>
      <c r="J1633" s="2">
        <v>75</v>
      </c>
    </row>
    <row r="1634" spans="1:10" ht="15">
      <c r="A1634" t="s">
        <v>310</v>
      </c>
      <c r="B1634" t="s">
        <v>11</v>
      </c>
      <c r="C1634">
        <v>53529</v>
      </c>
      <c r="D1634" s="2">
        <v>100</v>
      </c>
      <c r="E1634" s="1">
        <v>42748</v>
      </c>
      <c r="F1634" t="s">
        <v>18</v>
      </c>
      <c r="G1634" t="s">
        <v>13</v>
      </c>
      <c r="H1634" t="str">
        <f>"01/2017-MAYOR"</f>
        <v>01/2017-MAYOR</v>
      </c>
      <c r="I1634">
        <f>""</f>
      </c>
      <c r="J1634" s="2">
        <v>100</v>
      </c>
    </row>
    <row r="1636" spans="3:10" ht="15.75" thickBot="1">
      <c r="C1636" s="3" t="s">
        <v>319</v>
      </c>
      <c r="D1636" s="4">
        <f>SUM(D2:D1634)</f>
        <v>3444210.0700000045</v>
      </c>
      <c r="J1636" s="4">
        <f>SUM(J2:J1635)</f>
        <v>3444130.070000007</v>
      </c>
    </row>
    <row r="1637" ht="15.75" thickTop="1"/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 Moreno</dc:creator>
  <cp:keywords/>
  <dc:description/>
  <cp:lastModifiedBy>David A. Drewa</cp:lastModifiedBy>
  <cp:lastPrinted>2018-03-26T21:44:03Z</cp:lastPrinted>
  <dcterms:created xsi:type="dcterms:W3CDTF">2018-03-26T19:37:53Z</dcterms:created>
  <dcterms:modified xsi:type="dcterms:W3CDTF">2018-03-27T21:56:19Z</dcterms:modified>
  <cp:category/>
  <cp:version/>
  <cp:contentType/>
  <cp:contentStatus/>
</cp:coreProperties>
</file>